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385" activeTab="2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RZS!$A$1:$G$104</definedName>
    <definedName name="_xlnm.Print_Area" localSheetId="0">Zakres!$A$1:$I$27</definedName>
    <definedName name="podstawa">Zakres!$C$4</definedName>
    <definedName name="pozostale">Zakres!$C$9</definedName>
    <definedName name="suma1">Zakres!$I$12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2" l="1"/>
  <c r="I7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11" i="5" l="1"/>
  <c r="I10" i="5"/>
  <c r="I6" i="5"/>
  <c r="P17" i="5" l="1"/>
  <c r="P19" i="5"/>
  <c r="I13" i="5"/>
  <c r="P18" i="5"/>
  <c r="I14" i="5"/>
  <c r="C10" i="2" l="1"/>
  <c r="D21" i="2" l="1"/>
  <c r="E21" i="2"/>
  <c r="C21" i="2"/>
  <c r="B21" i="2" l="1"/>
  <c r="I12" i="5" l="1"/>
  <c r="O24" i="5"/>
  <c r="O25" i="5" l="1"/>
  <c r="J30" i="5"/>
  <c r="J33" i="5"/>
  <c r="J29" i="5"/>
  <c r="J32" i="5"/>
  <c r="J34" i="5"/>
  <c r="J31" i="5"/>
  <c r="E15" i="3"/>
  <c r="E12" i="3" l="1"/>
  <c r="D15" i="3"/>
  <c r="C5" i="3" l="1"/>
  <c r="C20" i="2" l="1"/>
  <c r="D20" i="2"/>
  <c r="E20" i="2"/>
  <c r="E29" i="2" s="1"/>
  <c r="B20" i="2" l="1"/>
  <c r="E13" i="3"/>
  <c r="D13" i="3"/>
  <c r="C13" i="3"/>
  <c r="E7" i="3"/>
  <c r="D29" i="2"/>
  <c r="D7" i="3" s="1"/>
  <c r="C29" i="2"/>
  <c r="C7" i="3" s="1"/>
  <c r="C6" i="3"/>
  <c r="C15" i="3"/>
  <c r="D8" i="3" l="1"/>
  <c r="C8" i="3"/>
  <c r="E10" i="2"/>
  <c r="E30" i="2" s="1"/>
  <c r="C30" i="2"/>
  <c r="C9" i="3" s="1"/>
  <c r="F22" i="3"/>
  <c r="D10" i="2"/>
  <c r="D30" i="2" s="1"/>
  <c r="D31" i="2" s="1"/>
  <c r="E31" i="2" l="1"/>
  <c r="E9" i="3" s="1"/>
  <c r="C11" i="3"/>
  <c r="D22" i="3"/>
  <c r="D9" i="3"/>
  <c r="D11" i="3" s="1"/>
  <c r="C22" i="3"/>
  <c r="E8" i="3"/>
  <c r="E22" i="3"/>
  <c r="C32" i="2"/>
  <c r="E32" i="2" l="1"/>
  <c r="E11" i="3"/>
  <c r="E14" i="3" s="1"/>
  <c r="C14" i="3"/>
  <c r="D32" i="2"/>
  <c r="D14" i="3" s="1"/>
  <c r="C16" i="3" l="1"/>
</calcChain>
</file>

<file path=xl/sharedStrings.xml><?xml version="1.0" encoding="utf-8"?>
<sst xmlns="http://schemas.openxmlformats.org/spreadsheetml/2006/main" count="152" uniqueCount="120">
  <si>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</si>
  <si>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</si>
  <si>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</si>
  <si>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</si>
  <si>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</si>
  <si>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</si>
  <si>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</si>
  <si>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</si>
  <si>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</si>
  <si>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</si>
  <si>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</si>
  <si>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</si>
  <si>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</si>
  <si>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</si>
  <si>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</si>
  <si>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</si>
  <si>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</si>
  <si>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</si>
  <si>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</si>
  <si>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</si>
  <si>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</si>
  <si>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</si>
  <si>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</si>
  <si>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</si>
  <si>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</si>
  <si>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</si>
  <si>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</si>
  <si>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</si>
  <si>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</si>
  <si>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</si>
  <si>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</si>
  <si>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</si>
  <si>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</si>
  <si>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</si>
  <si>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</si>
  <si>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</si>
  <si>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</si>
  <si>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</si>
  <si>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</si>
  <si>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</si>
  <si>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</si>
  <si>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</si>
  <si>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</si>
  <si>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</si>
  <si>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</si>
  <si>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</si>
  <si>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</si>
  <si>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</si>
  <si>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</si>
  <si>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</si>
  <si>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</si>
  <si>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</si>
  <si>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</si>
  <si>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</si>
  <si>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</si>
  <si>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</si>
  <si>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</si>
  <si>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</si>
  <si>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</si>
  <si>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</si>
  <si>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</si>
  <si>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</si>
  <si>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</si>
  <si>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</si>
  <si>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</si>
  <si>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</si>
  <si>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</si>
  <si>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</si>
  <si>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</si>
  <si>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</si>
  <si>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</si>
  <si>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</si>
  <si>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</si>
  <si>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</si>
  <si>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</si>
  <si>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</si>
  <si>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</si>
  <si>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</si>
  <si>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</si>
  <si>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</si>
  <si>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</si>
  <si>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</si>
  <si>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</si>
  <si>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</si>
  <si>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</si>
  <si>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</si>
  <si>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</si>
  <si>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</si>
  <si>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</si>
  <si>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</si>
  <si>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</si>
  <si>
    <t>Trak taśmowy przewoźny</t>
  </si>
  <si>
    <t>Trak służy do przecierania drewna okrągłego na tarcicę obrzynaną oraz nieobrzynaną. Maszyna będzie służyła do produkcji tarcicy oraz do usługowego cięcia drewna na tarcicę u klienta – trak przewoźny, nadający się do ciągnięcia za pojazdem mechanicznym</t>
  </si>
  <si>
    <t>Parametry technicze:
Moc silnika: …
itp.. …</t>
  </si>
  <si>
    <t xml:space="preserve">Maszyna służy do precyzyjnego wyregulowania grubości oraz wygładzania tarcicy wyciętej trakiem. W rezultacie otrzymujemy gotowy materiał budowlany. Wybrano maszynę używaną o wysokiej jakości i wydajności i jednocześnie przystępnej cenie. Nowa grubościówka tej klasy miała by trzykrotnie wyższą cenę. Maszyna 3-4 letnia jest dużo tańsza i jednocześnie wciąż trwała - będzie pracowała jeszcze co najmniej 5 lat. </t>
  </si>
  <si>
    <t>Grubościówka używana - koszt niekwalifikowany</t>
  </si>
  <si>
    <t xml:space="preserve">Łuparka służy do łupania drewna na szczapy, które stanowią materiał opałowy gotowy do użycia. ). Łuparka będzie służyła do produkcji materiału opałowego </t>
  </si>
  <si>
    <t>Łuparka</t>
  </si>
  <si>
    <t>Piła taśmowa</t>
  </si>
  <si>
    <t xml:space="preserve">Piła taśmowa służy do cięcia tarcicy przy pomocy traka. Piły taśmowe pracujące w traku zużywają się, wymagają cyklicznej zmiany, ostrzenia i prostowania zębów. W trakcie pracy traku piłę należy wymieniać co godzinę. Zakup 10 szt. pozwoli na płynną wymianę pił oraz ostrzenie i prostowanie zębów bez konieczności przerywania pracy traku. </t>
  </si>
  <si>
    <t>Materiał: stal
wymiary: ….</t>
  </si>
  <si>
    <t>Parametry techniczne: …</t>
  </si>
  <si>
    <t>Podatek VAT</t>
  </si>
  <si>
    <t>Będę płatnikiem podatku VAT, dlatego podatek ten jest kosztem niekwalifikowalnym.</t>
  </si>
  <si>
    <t>-</t>
  </si>
  <si>
    <t>drewno opałowe</t>
  </si>
  <si>
    <t>tarcica</t>
  </si>
  <si>
    <t>usługa łupania drewna na drewno opałowe</t>
  </si>
  <si>
    <t>usługa cięcia drewna trakiem</t>
  </si>
  <si>
    <t>m3</t>
  </si>
  <si>
    <t xml:space="preserve">Planując podjęcie działalności gospodarczej w zakresie mobilnych usług cięcia drewna oraz produkcji i sprzedaży tarcicy oraz drewna opałowego, zaplanowano zakup podstawowych niezbędnych maszyn i urządzeń niezbędnych do podjęcia działalności w zakresie usług cięcia drewna oraz produkcji i sprzedaży tarcicy oraz drewna opałowego. Dokonując wyboru poszczególnych maszyn kierowano się najlepszym stosunkiem ceny do niezbędnych funkcjonalności a także wydajności – w kontekście zaplanowanej wielkości sprzedaży opału i usług cięcia drewna. Najważniejsze urządzenie – trak przewoźny – wybrano z pełną hydrauliką, by zwiększyć bezpieczeństwo pracy operatora traku (zminimalizowane wykorzystanie siły fizycznej człowieka) oraz efektywność pracy traku (szybszy załadunek i ustawienie drewna do cięcia). Dla potrzeb szacowania kosztów pozyskano oferty cenowe– tam, gdzie było to możliwe uzyskano co najmniej 2 oferty. Dla potrzeb oszacowania budżetu przyjęto najniższe ceny maszyn spośród zebranych ofert . Wszsytkie ceny są cenami netto. Wydruki ofert załączono do wniosku.
</t>
  </si>
  <si>
    <t>3. Przychody w czasie z tytułu premii</t>
  </si>
  <si>
    <t>8.2 Inne koszty</t>
  </si>
  <si>
    <t>8.3 Reklama i promocja</t>
  </si>
  <si>
    <t xml:space="preserve">Zgodnie ze strategią konkurowania firmy – strategia jakościowa – przyjęto ceny na poziomie cen konkurencji. Wszsytkie ceny są cenami netto. Cenę sprzedaży drewna opałowego przyjęto jako średnia ceny sprzedaży dla trzech różnych rodzajów drewna: drewno iglaste – 200,00 zł, olcha – 210,00 zł, brzoza – 240,00 zł. Cena sprzedaży tarcicy to cena sprzedaży tarcicy z drewna iglastego (przyjęto na poziomie najniższej ceny konkurencji). Wielkość sprzedaży oszacowano w stosunku do kupowanego drewna (towaru) w roku n, n+1 i n+2, zakładając 5% stratę z surowca na materiał opałowy (przy produkcji opału z surowca powstaje odpad w postaci wiórów i drobnych szczypek) oraz 10% stratę z surowca na tarcicę  (przy produkcji tarcicy z surowca powstaje odpad w postaci wiórów, ścinek i kory). Założono tendencję wzrostową wielkości sprzedaży, ponieważ biznesplan przeiduje rozwój firmy i stopniowe zwiększania sprzedaży towarów i usług. Przyjęto stałą cenę sprzedaży towarów i usług, ponieważ w okresie dwóch lat trwałości projektu nie przewiduje się wzrostu cen sprzedaży. W skali roku również nie występują zmiany cen sprzedaży produktu/usługi. </t>
  </si>
  <si>
    <t xml:space="preserve">Dla potrzeb szacowania przychodów i kosztów przyjęto następujące założenia wyjściowe:
"Rok N" trwa cały rok otrzymania płatności końcowej (2019) oraz 4 miesiące roku poprzedniego (od daty zarejestrowania działalności (od 09.2018) 
Rok N+1 trwa cały rok 2020
Rok N+2 trwa cały rok 2021
Wszystkie przyjęte w tabeli ceny są cenami netto.
A. Przychody:
1. W roku N przewiduje się przychody ze sprzedaży około 20% niże niż w kolejnych pełnych latach funkcjonowania firmy, ponieważ będzie to pierwszy rok istnienia firmy na lokalnym rynku, w którym firma rozpocznie pozyskiwanie swoich klientów. W latach N+1 i N+2 wpisano przychody zgodnie z tabelą 9.1.
2. Inne przychody: to przychody w czasie z tytułu premii obliczone zgodnie z instrukcją jako wartość odpisów amortyzacyjnych za dany rok (z poz. B. 8.1) x poziom dofinansowania operacji (obliczony jako: kwota premii/wydatki stanowiące podstawę do wyliczenia kwoty pomocy = 100%)
</t>
  </si>
  <si>
    <t xml:space="preserve">B. Koszty:
1. Zużycie materiałów i energii: Są to koszty opłat za energię elektryczną, paliwo, smary i oleje do traku i łuparki. Przyjęto stałe koszty w poszczególnych latach, w opraciu o następujące założenia:
- szacunkowe zużycie energii elektrycznej / rok = 7 000 KWh, przy cenie 0,30 zł/KWh = 2 100,00zł/rok
- szacunkowe zużycie paliwa – diesel – na poziomie 500l/rok, co przy cenie 3,50 zł/l = 1 750,00zł/rok
- szacunkowe zużycie smarów i olejów szacuje się na poziomie 600,00 zł/rok
Razem zużycie materiałów i energii: 2 100,00 +1 750,00 +600,00 = 4 450,00 zł/rok
2.Usługi obce: są to koszty usług księgowych oraz serwisu maszyn po upływie 24 miesięcznego okresu gwarancji. 
- koszt usług księgowych: Koszt szacowany na poziomie 150,00 zł/m-c (wycena po rozeznaniu stawek usług księgowych na lokalnym rynku). Koszt za rok N: 150,00 x 16 m-cy = 2 400,00 zł, za rok N+1 i N+2: 1 800,00 zł
- koszt serwisu maszyn: koszt pojawi się po upływie okresu gwarancji, tj. w roku N+2 w szacunkowej wysokości 1000,00 zł/rok
Razem usługi obce:
Rok N: 2 400,00 zł
Rok N+1: 2 400,00 zł
</t>
  </si>
  <si>
    <t xml:space="preserve">Rok N+2: 2 400,00 zł + 1 000,00 zł = 3 400,00 zł
3. Koszt podatków i opłat nie występuje, ponieważ nie jestem zobowiązany do opłacania podatku od nieruchomości – innych opłat nie ma.
4. Wynagrodzenia i pochodne: przyjęto koszt składek społecznych z tytułu wykonywania działalności gospodarczej ponoszony przez przedsiębiorcę. W pierwszych dwóch latach prowadzenia działalności przyjęto składki społeczne w preferencyjnej wysokości dla młodych przedsiębiorców, tj. 487,90 zł/m-c, w kolejnych latach: 1 172,56 zł/m-c. 
Koszty w roku N oszacowano następująco: od daty zarejestrowania działalności gospodarczej (09.2018) do końca roku 2019, tj.: 16 x 487,90 zł = 7 806,40 zł/rok
Koszty w roku N+1: [8 x 487,90] + [4 x 1 172,56] = 3 903,20 + 4 690,24 = 8 593,44 zł/rok
Koszty w roku N+2: 12 x 1 172,56 = 14 070,72 zł/rok
5. Koszty finansowe: nie występują, ponieważ nie planuję zaciągać kredytów ani pożyczek.
6. Zakup towarów: Jest to koszt zakupu drewna, które będzie wykorzystywane do produkcji tarcicy oraz drewna opałowego. Dla roku N szacuje się zapotrzebowanie na 40 m3 drewna opałowego i 30 m3 drewna tartacznego, dla roku N+1: 60 m3 drewna opałowego i 50 m3 drewna tartacznego, dla roku N+2: 60 m3 drewna opałowego i 50 m3 drewna tartacznego. Ceny zakupu drewna szacowano na podstawie cennika sprzedaży drewna w Nadleśnictwie Włodawa. 
</t>
  </si>
  <si>
    <t xml:space="preserve">7. Ubezpieczenia majątkowe: Przyjęto koszt ubezpieczenia maszyn na wypadek kradzieży i pożaru w szacunkowej wysokości 3 000,00 zł/rok.
8. Pozostałe koszty: 
8.1 Amortyzacja: Przy szacowaniu kosztów amortyzacji przyjęto założenie, że maszyny zostaną zakupione i wprowadzone do ewidencji środków trwałych we wrześniu 2018r. i od tego miesiąca rozpoczęto dokonywanie odpisów amortyzacyjnych. Stąd w roku N przyjęto koszt proporcjonalny – za 16 m-cy. W latach N+1 i N+2 przyjęto koszty za 12 m-cy. 
1. Trak taśmowy przewoźny (symbol KŚT 540) – stawka amortyzacji 14 % - odpis amortyzacyjny za pełny rok (N+1, N+2): 2 800,00 zł, odpis amortyzacyjny za rok N: 3 733,33 zł.
2. Łuparka (symbol KŚT 540) – stawka amortyzacji 14% - odpis amortyzacyjny za pełny rok (N+1, N+2): 7 000,00 zł, odpis amortyzacyjny za rok N: 9 333,33 zł.
3. Grubościówka (symbol KŚT 540) - stawka amortyzacji 14% - odpis amortyzacyjny za pełny rok (N+1, N+2): 1 400,00 zł, odpis amortyzacyjny za rok N: 1 866,67 zł   
Razem amortyzacja:
Rok N: 3 733,33 + 9 333,33 + 1 866,67 = 14 933,33 zł
Nok N+1 i N+2: 2 800,00 + 7 000,00 + 1 400,00 = 11 200,00 zł
</t>
  </si>
  <si>
    <t xml:space="preserve">8.2 Inne koszty: Piła taśmowa jako środek trwały o wartości mniejszej niż 1 500,00 zł uwzględniona jako koszt jednorazowy w całości w roku N.
8.3 Reklama i promocja: Jest to koszt reklamy i promocji firmy opisane w biznesplanie. Przyjęto szacunkowy koszt roczny zamówienia wizytówek:  300,00 zł oraz jednorazowo w roku N koszt zamówienia banneru reklamowego zewnętrznego: 1000,00 zł.
D. Podatek dochodowy: rozliczany będzie na zasadach ogólnych - stawka 18% dochodu.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</si>
</sst>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view="pageBreakPreview" zoomScale="80" zoomScaleNormal="100" zoomScaleSheetLayoutView="80" workbookViewId="0">
      <selection activeCell="F6" sqref="F6"/>
    </sheetView>
  </sheetViews>
  <sheetFormatPr defaultRowHeight="15" x14ac:dyDescent="0.25"/>
  <cols>
    <col min="1" max="1" width="1.5703125" style="67" customWidth="1"/>
    <col min="2" max="2" width="3.85546875" customWidth="1"/>
    <col min="3" max="3" width="3.28515625" customWidth="1"/>
    <col min="4" max="4" width="21.42578125" bestFit="1" customWidth="1"/>
    <col min="5" max="5" width="14" bestFit="1" customWidth="1"/>
    <col min="6" max="6" width="17.7109375" customWidth="1"/>
    <col min="7" max="7" width="8.5703125" customWidth="1"/>
    <col min="8" max="8" width="13.28515625" customWidth="1"/>
    <col min="9" max="9" width="14" customWidth="1"/>
    <col min="10" max="10" width="22.140625" style="55" customWidth="1"/>
    <col min="11" max="11" width="6.5703125" customWidth="1"/>
    <col min="12" max="12" width="1" customWidth="1"/>
    <col min="13" max="13" width="16.85546875" style="25" customWidth="1"/>
    <col min="14" max="14" width="27" style="25" customWidth="1"/>
    <col min="15" max="15" width="7.140625" style="25" customWidth="1"/>
    <col min="16" max="16" width="7.42578125" style="25" customWidth="1"/>
  </cols>
  <sheetData>
    <row r="1" spans="1:16" x14ac:dyDescent="0.25">
      <c r="C1" s="81" t="s">
        <v>42</v>
      </c>
      <c r="D1" s="81"/>
      <c r="E1" s="81"/>
      <c r="F1" s="81"/>
      <c r="G1" s="25"/>
      <c r="H1" s="25"/>
      <c r="I1" s="25"/>
      <c r="J1" s="73" t="s">
        <v>81</v>
      </c>
    </row>
    <row r="2" spans="1:16" ht="35.25" customHeight="1" x14ac:dyDescent="0.25">
      <c r="C2" s="59" t="s">
        <v>43</v>
      </c>
      <c r="D2" s="59"/>
      <c r="E2" s="59"/>
      <c r="F2" s="59"/>
      <c r="G2" s="64"/>
      <c r="H2" s="64"/>
      <c r="I2" s="25"/>
      <c r="J2" s="74"/>
    </row>
    <row r="3" spans="1:16" ht="51.75" customHeight="1" x14ac:dyDescent="0.25">
      <c r="C3" s="82" t="s">
        <v>44</v>
      </c>
      <c r="D3" s="82"/>
      <c r="E3" s="13" t="s">
        <v>45</v>
      </c>
      <c r="F3" s="57" t="s">
        <v>46</v>
      </c>
      <c r="G3" s="13" t="s">
        <v>47</v>
      </c>
      <c r="H3" s="13" t="s">
        <v>48</v>
      </c>
      <c r="I3" s="57" t="s">
        <v>49</v>
      </c>
      <c r="J3" s="56" t="s">
        <v>82</v>
      </c>
    </row>
    <row r="4" spans="1:16" s="11" customFormat="1" x14ac:dyDescent="0.25">
      <c r="A4" s="67"/>
      <c r="B4"/>
      <c r="C4" s="83" t="s">
        <v>56</v>
      </c>
      <c r="D4" s="84"/>
      <c r="E4" s="84"/>
      <c r="F4" s="84"/>
      <c r="G4" s="84"/>
      <c r="H4" s="84"/>
      <c r="I4" s="85"/>
      <c r="J4" s="43"/>
      <c r="M4" s="29"/>
      <c r="N4" s="29"/>
      <c r="O4" s="29"/>
      <c r="P4" s="29"/>
    </row>
    <row r="5" spans="1:16" s="11" customFormat="1" ht="255" x14ac:dyDescent="0.25">
      <c r="A5" s="68"/>
      <c r="C5" s="9" t="s">
        <v>50</v>
      </c>
      <c r="D5" s="9" t="s">
        <v>91</v>
      </c>
      <c r="E5" s="14" t="s">
        <v>92</v>
      </c>
      <c r="F5" s="14" t="s">
        <v>93</v>
      </c>
      <c r="G5" s="14">
        <v>1</v>
      </c>
      <c r="H5" s="45">
        <v>20000</v>
      </c>
      <c r="I5" s="14">
        <f t="shared" ref="I5:I11" si="0">G5*H5</f>
        <v>20000</v>
      </c>
      <c r="J5" s="43" t="s">
        <v>63</v>
      </c>
      <c r="M5" s="29"/>
      <c r="N5" s="29"/>
      <c r="O5" s="29"/>
      <c r="P5" s="29"/>
    </row>
    <row r="6" spans="1:16" s="11" customFormat="1" ht="165.75" x14ac:dyDescent="0.25">
      <c r="A6" s="68"/>
      <c r="C6" s="9" t="s">
        <v>52</v>
      </c>
      <c r="D6" s="9" t="s">
        <v>97</v>
      </c>
      <c r="E6" s="14" t="s">
        <v>96</v>
      </c>
      <c r="F6" s="14" t="s">
        <v>101</v>
      </c>
      <c r="G6" s="14">
        <v>1</v>
      </c>
      <c r="H6" s="45">
        <v>50000</v>
      </c>
      <c r="I6" s="14">
        <f t="shared" si="0"/>
        <v>50000</v>
      </c>
      <c r="J6" s="43" t="s">
        <v>63</v>
      </c>
      <c r="M6" s="29"/>
      <c r="N6" s="29"/>
      <c r="O6" s="29"/>
      <c r="P6" s="29"/>
    </row>
    <row r="7" spans="1:16" s="11" customFormat="1" ht="331.5" x14ac:dyDescent="0.25">
      <c r="A7" s="68"/>
      <c r="C7" s="9" t="s">
        <v>53</v>
      </c>
      <c r="D7" s="9" t="s">
        <v>98</v>
      </c>
      <c r="E7" s="14" t="s">
        <v>99</v>
      </c>
      <c r="F7" s="14" t="s">
        <v>100</v>
      </c>
      <c r="G7" s="14">
        <v>10</v>
      </c>
      <c r="H7" s="45">
        <v>50</v>
      </c>
      <c r="I7" s="14">
        <f>H7*G7</f>
        <v>500</v>
      </c>
      <c r="J7" s="43" t="s">
        <v>85</v>
      </c>
      <c r="M7" s="29"/>
      <c r="N7" s="29"/>
      <c r="O7" s="29"/>
      <c r="P7" s="29"/>
    </row>
    <row r="8" spans="1:16" s="11" customFormat="1" x14ac:dyDescent="0.25">
      <c r="A8" s="68"/>
      <c r="C8" s="9" t="s">
        <v>54</v>
      </c>
      <c r="D8" s="9"/>
      <c r="E8" s="14"/>
      <c r="F8" s="14"/>
      <c r="G8" s="14"/>
      <c r="H8" s="45"/>
      <c r="I8" s="14"/>
      <c r="J8" s="43"/>
      <c r="M8" s="29"/>
      <c r="N8" s="29"/>
      <c r="O8" s="29"/>
      <c r="P8" s="29"/>
    </row>
    <row r="9" spans="1:16" s="11" customFormat="1" ht="15" customHeight="1" x14ac:dyDescent="0.25">
      <c r="A9" s="68"/>
      <c r="C9" s="83" t="s">
        <v>57</v>
      </c>
      <c r="D9" s="84"/>
      <c r="E9" s="84"/>
      <c r="F9" s="84"/>
      <c r="G9" s="84"/>
      <c r="H9" s="84"/>
      <c r="I9" s="60"/>
      <c r="J9" s="43"/>
      <c r="M9" s="29"/>
      <c r="N9" s="29"/>
      <c r="O9" s="29"/>
      <c r="P9" s="29"/>
    </row>
    <row r="10" spans="1:16" s="11" customFormat="1" ht="408" x14ac:dyDescent="0.25">
      <c r="A10" s="68"/>
      <c r="C10" s="9" t="s">
        <v>50</v>
      </c>
      <c r="D10" s="9" t="s">
        <v>95</v>
      </c>
      <c r="E10" s="14" t="s">
        <v>94</v>
      </c>
      <c r="F10" s="14" t="s">
        <v>93</v>
      </c>
      <c r="G10" s="14">
        <v>1</v>
      </c>
      <c r="H10" s="14">
        <v>10000</v>
      </c>
      <c r="I10" s="14">
        <f t="shared" si="0"/>
        <v>10000</v>
      </c>
      <c r="J10" s="43" t="s">
        <v>63</v>
      </c>
      <c r="M10" s="29"/>
      <c r="N10" s="29"/>
      <c r="O10" s="29"/>
      <c r="P10" s="29"/>
    </row>
    <row r="11" spans="1:16" s="11" customFormat="1" ht="76.5" x14ac:dyDescent="0.25">
      <c r="A11" s="68"/>
      <c r="C11" s="9" t="s">
        <v>52</v>
      </c>
      <c r="D11" s="9" t="s">
        <v>102</v>
      </c>
      <c r="E11" s="14" t="s">
        <v>103</v>
      </c>
      <c r="F11" s="14" t="s">
        <v>104</v>
      </c>
      <c r="G11" s="14">
        <v>1</v>
      </c>
      <c r="H11" s="14">
        <v>24050</v>
      </c>
      <c r="I11" s="14">
        <f t="shared" si="0"/>
        <v>24050</v>
      </c>
      <c r="J11" s="43" t="s">
        <v>85</v>
      </c>
      <c r="M11" s="29"/>
      <c r="N11" s="29"/>
      <c r="O11" s="29"/>
      <c r="P11" s="29"/>
    </row>
    <row r="12" spans="1:16" x14ac:dyDescent="0.25">
      <c r="C12" s="75" t="s">
        <v>55</v>
      </c>
      <c r="D12" s="75"/>
      <c r="E12" s="75"/>
      <c r="F12" s="75"/>
      <c r="G12" s="75"/>
      <c r="H12" s="75"/>
      <c r="I12" s="16">
        <f>I13+I14</f>
        <v>104550</v>
      </c>
      <c r="J12" s="44"/>
    </row>
    <row r="13" spans="1:16" x14ac:dyDescent="0.25">
      <c r="C13" s="75" t="s">
        <v>56</v>
      </c>
      <c r="D13" s="75"/>
      <c r="E13" s="75"/>
      <c r="F13" s="75"/>
      <c r="G13" s="75"/>
      <c r="H13" s="75"/>
      <c r="I13" s="16">
        <f>SUM(I5:I8)</f>
        <v>70500</v>
      </c>
      <c r="J13" s="44"/>
    </row>
    <row r="14" spans="1:16" x14ac:dyDescent="0.25">
      <c r="C14" s="75" t="s">
        <v>57</v>
      </c>
      <c r="D14" s="75"/>
      <c r="E14" s="75"/>
      <c r="F14" s="75"/>
      <c r="G14" s="75"/>
      <c r="H14" s="75"/>
      <c r="I14" s="16">
        <f>SUM(I10:I11)</f>
        <v>34050</v>
      </c>
      <c r="J14" s="44"/>
    </row>
    <row r="15" spans="1:16" x14ac:dyDescent="0.25">
      <c r="C15" s="75" t="s">
        <v>59</v>
      </c>
      <c r="D15" s="75"/>
      <c r="E15" s="75"/>
      <c r="F15" s="75"/>
      <c r="G15" s="75"/>
      <c r="H15" s="75"/>
      <c r="I15" s="15">
        <v>80000</v>
      </c>
      <c r="J15" s="44"/>
    </row>
    <row r="16" spans="1:16" ht="15" customHeight="1" x14ac:dyDescent="0.25">
      <c r="C16" s="76"/>
      <c r="D16" s="76"/>
      <c r="E16" s="76"/>
      <c r="F16" s="76"/>
      <c r="G16" s="76"/>
      <c r="H16" s="76"/>
      <c r="I16" s="76"/>
      <c r="J16" s="44"/>
      <c r="M16" s="25" t="s">
        <v>51</v>
      </c>
      <c r="N16" s="25" t="s">
        <v>51</v>
      </c>
    </row>
    <row r="17" spans="3:16" ht="59.25" customHeight="1" x14ac:dyDescent="0.25">
      <c r="C17" s="77" t="s">
        <v>61</v>
      </c>
      <c r="D17" s="78"/>
      <c r="E17" s="78"/>
      <c r="F17" s="78"/>
      <c r="G17" s="78"/>
      <c r="H17" s="78"/>
      <c r="I17" s="78"/>
      <c r="J17" s="44"/>
      <c r="M17" s="25" t="s">
        <v>79</v>
      </c>
      <c r="N17" s="25" t="s">
        <v>63</v>
      </c>
      <c r="P17" s="25">
        <f>SUMIFS(I5:I11,J5:J11,"Ki pieniężne")</f>
        <v>80000</v>
      </c>
    </row>
    <row r="18" spans="3:16" x14ac:dyDescent="0.25">
      <c r="C18" s="79" t="s">
        <v>110</v>
      </c>
      <c r="D18" s="80"/>
      <c r="E18" s="80"/>
      <c r="F18" s="80"/>
      <c r="G18" s="80"/>
      <c r="H18" s="80"/>
      <c r="I18" s="80"/>
      <c r="J18" s="44"/>
      <c r="M18" s="25" t="s">
        <v>84</v>
      </c>
      <c r="N18" s="25" t="s">
        <v>62</v>
      </c>
      <c r="P18" s="25">
        <f>SUMIFS(I5:I11,J5:J11,"Ki wkład rzeczowy")</f>
        <v>0</v>
      </c>
    </row>
    <row r="19" spans="3:16" x14ac:dyDescent="0.25">
      <c r="C19" s="80"/>
      <c r="D19" s="80"/>
      <c r="E19" s="80"/>
      <c r="F19" s="80"/>
      <c r="G19" s="80"/>
      <c r="H19" s="80"/>
      <c r="I19" s="80"/>
      <c r="J19" s="44"/>
      <c r="N19" s="25" t="s">
        <v>85</v>
      </c>
      <c r="P19" s="25">
        <f>SUMIFS(I6:I12,J6:J12,"Kp pieniężne i wkład rzeczowy")</f>
        <v>24550</v>
      </c>
    </row>
    <row r="20" spans="3:16" x14ac:dyDescent="0.25">
      <c r="C20" s="80"/>
      <c r="D20" s="80"/>
      <c r="E20" s="80"/>
      <c r="F20" s="80"/>
      <c r="G20" s="80"/>
      <c r="H20" s="80"/>
      <c r="I20" s="80"/>
      <c r="J20" s="44"/>
    </row>
    <row r="21" spans="3:16" x14ac:dyDescent="0.25">
      <c r="C21" s="80"/>
      <c r="D21" s="80"/>
      <c r="E21" s="80"/>
      <c r="F21" s="80"/>
      <c r="G21" s="80"/>
      <c r="H21" s="80"/>
      <c r="I21" s="80"/>
      <c r="J21" s="44"/>
    </row>
    <row r="22" spans="3:16" x14ac:dyDescent="0.25">
      <c r="C22" s="80"/>
      <c r="D22" s="80"/>
      <c r="E22" s="80"/>
      <c r="F22" s="80"/>
      <c r="G22" s="80"/>
      <c r="H22" s="80"/>
      <c r="I22" s="80"/>
      <c r="J22" s="44"/>
    </row>
    <row r="23" spans="3:16" x14ac:dyDescent="0.25">
      <c r="C23" s="80"/>
      <c r="D23" s="80"/>
      <c r="E23" s="80"/>
      <c r="F23" s="80"/>
      <c r="G23" s="80"/>
      <c r="H23" s="80"/>
      <c r="I23" s="80"/>
      <c r="J23" s="44"/>
    </row>
    <row r="24" spans="3:16" x14ac:dyDescent="0.25">
      <c r="C24" s="80"/>
      <c r="D24" s="80"/>
      <c r="E24" s="80"/>
      <c r="F24" s="80"/>
      <c r="G24" s="80"/>
      <c r="H24" s="80"/>
      <c r="I24" s="80"/>
      <c r="J24" s="44"/>
      <c r="N24" s="26" t="s">
        <v>58</v>
      </c>
      <c r="O24" s="26">
        <f>P17</f>
        <v>80000</v>
      </c>
    </row>
    <row r="25" spans="3:16" x14ac:dyDescent="0.25">
      <c r="C25" s="80"/>
      <c r="D25" s="80"/>
      <c r="E25" s="80"/>
      <c r="F25" s="80"/>
      <c r="G25" s="80"/>
      <c r="H25" s="80"/>
      <c r="I25" s="80"/>
      <c r="J25" s="44"/>
      <c r="N25" s="40" t="s">
        <v>60</v>
      </c>
      <c r="O25" s="26">
        <f>P17</f>
        <v>80000</v>
      </c>
    </row>
    <row r="26" spans="3:16" x14ac:dyDescent="0.25">
      <c r="C26" s="80"/>
      <c r="D26" s="80"/>
      <c r="E26" s="80"/>
      <c r="F26" s="80"/>
      <c r="G26" s="80"/>
      <c r="H26" s="80"/>
      <c r="I26" s="80"/>
      <c r="J26" s="44"/>
    </row>
    <row r="27" spans="3:16" x14ac:dyDescent="0.25">
      <c r="C27" s="80"/>
      <c r="D27" s="80"/>
      <c r="E27" s="80"/>
      <c r="F27" s="80"/>
      <c r="G27" s="80"/>
      <c r="H27" s="80"/>
      <c r="I27" s="80"/>
      <c r="J27" s="44"/>
    </row>
    <row r="28" spans="3:16" x14ac:dyDescent="0.25">
      <c r="C28" s="25"/>
      <c r="D28" s="25"/>
      <c r="E28" s="25"/>
      <c r="F28" s="25"/>
      <c r="G28" s="25"/>
      <c r="H28" s="25"/>
      <c r="I28" s="25"/>
      <c r="J28" s="44"/>
    </row>
    <row r="29" spans="3:16" x14ac:dyDescent="0.25">
      <c r="C29" s="25"/>
      <c r="D29" s="25"/>
      <c r="E29" s="25"/>
      <c r="F29" s="25"/>
      <c r="G29" s="25"/>
      <c r="H29" s="25"/>
      <c r="I29" s="25"/>
      <c r="J29" s="44" t="str">
        <f t="shared" ref="J29:J34" si="1">IF(I29=suma1,IF(I29&gt;0,"wybierz z listy",""),"")</f>
        <v/>
      </c>
    </row>
    <row r="30" spans="3:16" x14ac:dyDescent="0.25">
      <c r="C30" s="25"/>
      <c r="D30" s="25"/>
      <c r="E30" s="25"/>
      <c r="F30" s="25"/>
      <c r="G30" s="25"/>
      <c r="H30" s="25"/>
      <c r="I30" s="25"/>
      <c r="J30" s="44" t="str">
        <f t="shared" si="1"/>
        <v/>
      </c>
    </row>
    <row r="31" spans="3:16" x14ac:dyDescent="0.25">
      <c r="C31" s="25"/>
      <c r="D31" s="25"/>
      <c r="E31" s="25"/>
      <c r="F31" s="25"/>
      <c r="G31" s="25"/>
      <c r="H31" s="25"/>
      <c r="I31" s="25"/>
      <c r="J31" s="44" t="str">
        <f t="shared" si="1"/>
        <v/>
      </c>
    </row>
    <row r="32" spans="3:16" x14ac:dyDescent="0.25">
      <c r="C32" s="25"/>
      <c r="D32" s="25"/>
      <c r="E32" s="25"/>
      <c r="F32" s="25"/>
      <c r="G32" s="25"/>
      <c r="H32" s="25"/>
      <c r="I32" s="25"/>
      <c r="J32" s="44" t="str">
        <f t="shared" si="1"/>
        <v/>
      </c>
    </row>
    <row r="33" spans="3:10" x14ac:dyDescent="0.25">
      <c r="C33" s="25"/>
      <c r="D33" s="25"/>
      <c r="E33" s="25"/>
      <c r="F33" s="25"/>
      <c r="G33" s="25"/>
      <c r="H33" s="25"/>
      <c r="I33" s="25"/>
      <c r="J33" s="44" t="str">
        <f t="shared" si="1"/>
        <v/>
      </c>
    </row>
    <row r="34" spans="3:10" x14ac:dyDescent="0.25">
      <c r="C34" s="25"/>
      <c r="D34" s="25"/>
      <c r="E34" s="25"/>
      <c r="F34" s="25"/>
      <c r="G34" s="25"/>
      <c r="H34" s="25"/>
      <c r="I34" s="25"/>
      <c r="J34" s="44" t="str">
        <f t="shared" si="1"/>
        <v/>
      </c>
    </row>
  </sheetData>
  <sheetProtection sheet="1" objects="1" scenarios="1" insertRows="0" deleteRows="0"/>
  <mergeCells count="12">
    <mergeCell ref="J1:J2"/>
    <mergeCell ref="C15:H15"/>
    <mergeCell ref="C16:I16"/>
    <mergeCell ref="C17:I17"/>
    <mergeCell ref="C18:I27"/>
    <mergeCell ref="C14:H14"/>
    <mergeCell ref="C1:F1"/>
    <mergeCell ref="C3:D3"/>
    <mergeCell ref="C12:H12"/>
    <mergeCell ref="C13:H13"/>
    <mergeCell ref="C4:I4"/>
    <mergeCell ref="C9:H9"/>
  </mergeCells>
  <conditionalFormatting sqref="J5:J11">
    <cfRule type="expression" dxfId="3" priority="5">
      <formula>$I5&gt;0</formula>
    </cfRule>
  </conditionalFormatting>
  <conditionalFormatting sqref="J5:J11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1">
      <formula1>$N$16:$N$19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view="pageBreakPreview" zoomScale="140" zoomScaleNormal="115" zoomScaleSheetLayoutView="140" workbookViewId="0">
      <selection activeCell="C19" sqref="C19:K28"/>
    </sheetView>
  </sheetViews>
  <sheetFormatPr defaultRowHeight="12.75" x14ac:dyDescent="0.2"/>
  <cols>
    <col min="1" max="1" width="1.28515625" style="65" customWidth="1"/>
    <col min="2" max="2" width="2.85546875" style="25" customWidth="1"/>
    <col min="3" max="3" width="15" style="25" customWidth="1"/>
    <col min="4" max="4" width="12.85546875" style="25" customWidth="1"/>
    <col min="5" max="5" width="10.7109375" style="25" customWidth="1"/>
    <col min="6" max="6" width="10.28515625" style="25" customWidth="1"/>
    <col min="7" max="7" width="7.85546875" style="25" customWidth="1"/>
    <col min="8" max="8" width="13.140625" style="25" customWidth="1"/>
    <col min="9" max="9" width="13.85546875" style="25" customWidth="1"/>
    <col min="10" max="10" width="13.140625" style="25" customWidth="1"/>
    <col min="11" max="11" width="14" style="25" customWidth="1"/>
    <col min="12" max="12" width="1.42578125" style="25" customWidth="1"/>
    <col min="13" max="16384" width="9.140625" style="25"/>
  </cols>
  <sheetData>
    <row r="1" spans="1:12" ht="2.25" customHeight="1" x14ac:dyDescent="0.2"/>
    <row r="2" spans="1:12" ht="17.25" customHeight="1" x14ac:dyDescent="0.2">
      <c r="C2" s="41" t="s">
        <v>40</v>
      </c>
    </row>
    <row r="3" spans="1:12" ht="16.5" customHeight="1" x14ac:dyDescent="0.2">
      <c r="C3" s="86" t="s">
        <v>39</v>
      </c>
      <c r="D3" s="86"/>
      <c r="E3" s="86"/>
      <c r="F3" s="86"/>
      <c r="G3" s="86"/>
      <c r="H3" s="86"/>
      <c r="I3" s="86"/>
      <c r="J3" s="86"/>
      <c r="K3" s="86"/>
    </row>
    <row r="4" spans="1:12" x14ac:dyDescent="0.2">
      <c r="C4" s="96" t="s">
        <v>8</v>
      </c>
      <c r="D4" s="96" t="s">
        <v>0</v>
      </c>
      <c r="E4" s="99" t="s">
        <v>1</v>
      </c>
      <c r="F4" s="99"/>
      <c r="G4" s="99"/>
      <c r="H4" s="99" t="s">
        <v>2</v>
      </c>
      <c r="I4" s="99"/>
      <c r="J4" s="100" t="s">
        <v>3</v>
      </c>
      <c r="K4" s="100"/>
      <c r="L4" s="2"/>
    </row>
    <row r="5" spans="1:12" x14ac:dyDescent="0.2">
      <c r="C5" s="97"/>
      <c r="D5" s="119"/>
      <c r="E5" s="99"/>
      <c r="F5" s="99"/>
      <c r="G5" s="99"/>
      <c r="H5" s="99"/>
      <c r="I5" s="99"/>
      <c r="J5" s="100"/>
      <c r="K5" s="100"/>
      <c r="L5" s="2"/>
    </row>
    <row r="6" spans="1:12" ht="63.75" x14ac:dyDescent="0.2">
      <c r="C6" s="98"/>
      <c r="D6" s="120"/>
      <c r="E6" s="58" t="s">
        <v>4</v>
      </c>
      <c r="F6" s="58" t="s">
        <v>5</v>
      </c>
      <c r="G6" s="58" t="s">
        <v>6</v>
      </c>
      <c r="H6" s="58" t="s">
        <v>7</v>
      </c>
      <c r="I6" s="58" t="s">
        <v>6</v>
      </c>
      <c r="J6" s="63" t="s">
        <v>7</v>
      </c>
      <c r="K6" s="63" t="s">
        <v>6</v>
      </c>
      <c r="L6" s="2"/>
    </row>
    <row r="7" spans="1:12" s="29" customFormat="1" x14ac:dyDescent="0.2">
      <c r="A7" s="66"/>
      <c r="C7" s="9" t="s">
        <v>105</v>
      </c>
      <c r="D7" s="9" t="s">
        <v>109</v>
      </c>
      <c r="E7" s="9">
        <v>210</v>
      </c>
      <c r="F7" s="9">
        <v>210</v>
      </c>
      <c r="G7" s="9">
        <v>90</v>
      </c>
      <c r="H7" s="9">
        <v>210</v>
      </c>
      <c r="I7" s="9">
        <v>100</v>
      </c>
      <c r="J7" s="70"/>
      <c r="K7" s="70"/>
      <c r="L7" s="10"/>
    </row>
    <row r="8" spans="1:12" s="29" customFormat="1" x14ac:dyDescent="0.2">
      <c r="A8" s="66"/>
      <c r="C8" s="9" t="s">
        <v>106</v>
      </c>
      <c r="D8" s="9" t="s">
        <v>109</v>
      </c>
      <c r="E8" s="9">
        <v>900</v>
      </c>
      <c r="F8" s="9">
        <v>900</v>
      </c>
      <c r="G8" s="9">
        <v>70</v>
      </c>
      <c r="H8" s="9">
        <v>900</v>
      </c>
      <c r="I8" s="9">
        <v>90</v>
      </c>
      <c r="J8" s="70"/>
      <c r="K8" s="70"/>
      <c r="L8" s="10"/>
    </row>
    <row r="9" spans="1:12" s="29" customFormat="1" ht="38.25" x14ac:dyDescent="0.2">
      <c r="A9" s="66"/>
      <c r="C9" s="9" t="s">
        <v>107</v>
      </c>
      <c r="D9" s="9" t="s">
        <v>109</v>
      </c>
      <c r="E9" s="9">
        <v>30</v>
      </c>
      <c r="F9" s="9">
        <v>30</v>
      </c>
      <c r="G9" s="9">
        <v>50</v>
      </c>
      <c r="H9" s="9">
        <v>30</v>
      </c>
      <c r="I9" s="9">
        <v>60</v>
      </c>
      <c r="J9" s="71"/>
      <c r="K9" s="71"/>
      <c r="L9" s="12"/>
    </row>
    <row r="10" spans="1:12" s="29" customFormat="1" ht="25.5" x14ac:dyDescent="0.2">
      <c r="A10" s="66"/>
      <c r="C10" s="9" t="s">
        <v>108</v>
      </c>
      <c r="D10" s="9" t="s">
        <v>109</v>
      </c>
      <c r="E10" s="9">
        <v>50</v>
      </c>
      <c r="F10" s="9">
        <v>50</v>
      </c>
      <c r="G10" s="9">
        <v>50</v>
      </c>
      <c r="H10" s="9">
        <v>50</v>
      </c>
      <c r="I10" s="9">
        <v>60</v>
      </c>
      <c r="J10" s="71"/>
      <c r="K10" s="71"/>
      <c r="L10" s="12"/>
    </row>
    <row r="11" spans="1:12" s="29" customFormat="1" x14ac:dyDescent="0.2">
      <c r="A11" s="66"/>
      <c r="C11" s="9" t="s">
        <v>104</v>
      </c>
      <c r="D11" s="9"/>
      <c r="E11" s="9"/>
      <c r="F11" s="9"/>
      <c r="G11" s="9"/>
      <c r="H11" s="9"/>
      <c r="I11" s="9"/>
      <c r="J11" s="71"/>
      <c r="K11" s="71"/>
      <c r="L11" s="12"/>
    </row>
    <row r="12" spans="1:12" s="29" customFormat="1" x14ac:dyDescent="0.2">
      <c r="A12" s="66"/>
      <c r="C12" s="9" t="s">
        <v>104</v>
      </c>
      <c r="D12" s="9"/>
      <c r="E12" s="9"/>
      <c r="F12" s="9"/>
      <c r="G12" s="9"/>
      <c r="H12" s="9"/>
      <c r="I12" s="9"/>
      <c r="J12" s="71"/>
      <c r="K12" s="71"/>
      <c r="L12" s="12"/>
    </row>
    <row r="13" spans="1:12" s="29" customFormat="1" x14ac:dyDescent="0.2">
      <c r="A13" s="66"/>
      <c r="C13" s="9" t="s">
        <v>104</v>
      </c>
      <c r="D13" s="9"/>
      <c r="E13" s="9"/>
      <c r="F13" s="9"/>
      <c r="G13" s="9"/>
      <c r="H13" s="9"/>
      <c r="I13" s="9"/>
      <c r="J13" s="71"/>
      <c r="K13" s="71"/>
      <c r="L13" s="12"/>
    </row>
    <row r="14" spans="1:12" s="29" customFormat="1" x14ac:dyDescent="0.2">
      <c r="A14" s="66"/>
      <c r="C14" s="101" t="s">
        <v>87</v>
      </c>
      <c r="D14" s="102"/>
      <c r="E14" s="61"/>
      <c r="F14" s="61"/>
      <c r="G14" s="69">
        <f>SUM(G7:G13)</f>
        <v>260</v>
      </c>
      <c r="H14" s="61"/>
      <c r="I14" s="69">
        <f>SUM(I7:I13)</f>
        <v>310</v>
      </c>
      <c r="J14" s="62"/>
      <c r="K14" s="62"/>
      <c r="L14" s="12"/>
    </row>
    <row r="15" spans="1:12" s="29" customFormat="1" ht="23.25" customHeight="1" x14ac:dyDescent="0.2">
      <c r="A15" s="66"/>
      <c r="C15" s="103" t="s">
        <v>88</v>
      </c>
      <c r="D15" s="104"/>
      <c r="E15" s="107" t="str">
        <f ca="1">TEXT('NPV + wsk_rent'!D6,0) &amp;" = A"</f>
        <v>85900 = A</v>
      </c>
      <c r="F15" s="108"/>
      <c r="G15" s="109"/>
      <c r="H15" s="110" t="str">
        <f ca="1">TEXT('NPV + wsk_rent'!E6,0) &amp;" = B"</f>
        <v>106800 = B</v>
      </c>
      <c r="I15" s="111"/>
      <c r="J15" s="117" t="str">
        <f>TEXT('NPV + wsk_rent'!F6,0) &amp;" = C"</f>
        <v>0 = C</v>
      </c>
      <c r="K15" s="118"/>
      <c r="L15" s="12"/>
    </row>
    <row r="16" spans="1:12" s="29" customFormat="1" x14ac:dyDescent="0.2">
      <c r="A16" s="66"/>
      <c r="C16" s="105" t="s">
        <v>89</v>
      </c>
      <c r="D16" s="106"/>
      <c r="E16" s="115">
        <f ca="1">SUM('NPV + wsk_rent'!D6:F6)</f>
        <v>192700</v>
      </c>
      <c r="F16" s="116"/>
      <c r="G16" s="116"/>
      <c r="H16" s="116"/>
      <c r="I16" s="116"/>
      <c r="J16" s="116"/>
      <c r="K16" s="111"/>
      <c r="L16" s="12"/>
    </row>
    <row r="17" spans="1:11" x14ac:dyDescent="0.2">
      <c r="A17" s="66"/>
      <c r="B17" s="29"/>
    </row>
    <row r="18" spans="1:11" ht="51.75" customHeight="1" x14ac:dyDescent="0.2">
      <c r="C18" s="112" t="s">
        <v>41</v>
      </c>
      <c r="D18" s="113"/>
      <c r="E18" s="113"/>
      <c r="F18" s="113"/>
      <c r="G18" s="113"/>
      <c r="H18" s="113"/>
      <c r="I18" s="113"/>
      <c r="J18" s="113"/>
      <c r="K18" s="114"/>
    </row>
    <row r="19" spans="1:11" x14ac:dyDescent="0.2">
      <c r="C19" s="87" t="s">
        <v>114</v>
      </c>
      <c r="D19" s="88"/>
      <c r="E19" s="88"/>
      <c r="F19" s="88"/>
      <c r="G19" s="88"/>
      <c r="H19" s="88"/>
      <c r="I19" s="88"/>
      <c r="J19" s="88"/>
      <c r="K19" s="89"/>
    </row>
    <row r="20" spans="1:11" ht="25.5" customHeight="1" x14ac:dyDescent="0.2">
      <c r="C20" s="90"/>
      <c r="D20" s="91"/>
      <c r="E20" s="91"/>
      <c r="F20" s="91"/>
      <c r="G20" s="91"/>
      <c r="H20" s="91"/>
      <c r="I20" s="91"/>
      <c r="J20" s="91"/>
      <c r="K20" s="92"/>
    </row>
    <row r="21" spans="1:11" x14ac:dyDescent="0.2">
      <c r="C21" s="90"/>
      <c r="D21" s="91"/>
      <c r="E21" s="91"/>
      <c r="F21" s="91"/>
      <c r="G21" s="91"/>
      <c r="H21" s="91"/>
      <c r="I21" s="91"/>
      <c r="J21" s="91"/>
      <c r="K21" s="92"/>
    </row>
    <row r="22" spans="1:11" x14ac:dyDescent="0.2">
      <c r="C22" s="90"/>
      <c r="D22" s="91"/>
      <c r="E22" s="91"/>
      <c r="F22" s="91"/>
      <c r="G22" s="91"/>
      <c r="H22" s="91"/>
      <c r="I22" s="91"/>
      <c r="J22" s="91"/>
      <c r="K22" s="92"/>
    </row>
    <row r="23" spans="1:11" x14ac:dyDescent="0.2">
      <c r="C23" s="90"/>
      <c r="D23" s="91"/>
      <c r="E23" s="91"/>
      <c r="F23" s="91"/>
      <c r="G23" s="91"/>
      <c r="H23" s="91"/>
      <c r="I23" s="91"/>
      <c r="J23" s="91"/>
      <c r="K23" s="92"/>
    </row>
    <row r="24" spans="1:11" x14ac:dyDescent="0.2">
      <c r="C24" s="90"/>
      <c r="D24" s="91"/>
      <c r="E24" s="91"/>
      <c r="F24" s="91"/>
      <c r="G24" s="91"/>
      <c r="H24" s="91"/>
      <c r="I24" s="91"/>
      <c r="J24" s="91"/>
      <c r="K24" s="92"/>
    </row>
    <row r="25" spans="1:11" x14ac:dyDescent="0.2">
      <c r="C25" s="90"/>
      <c r="D25" s="91"/>
      <c r="E25" s="91"/>
      <c r="F25" s="91"/>
      <c r="G25" s="91"/>
      <c r="H25" s="91"/>
      <c r="I25" s="91"/>
      <c r="J25" s="91"/>
      <c r="K25" s="92"/>
    </row>
    <row r="26" spans="1:11" x14ac:dyDescent="0.2">
      <c r="C26" s="90"/>
      <c r="D26" s="91"/>
      <c r="E26" s="91"/>
      <c r="F26" s="91"/>
      <c r="G26" s="91"/>
      <c r="H26" s="91"/>
      <c r="I26" s="91"/>
      <c r="J26" s="91"/>
      <c r="K26" s="92"/>
    </row>
    <row r="27" spans="1:11" x14ac:dyDescent="0.2">
      <c r="C27" s="90"/>
      <c r="D27" s="91"/>
      <c r="E27" s="91"/>
      <c r="F27" s="91"/>
      <c r="G27" s="91"/>
      <c r="H27" s="91"/>
      <c r="I27" s="91"/>
      <c r="J27" s="91"/>
      <c r="K27" s="92"/>
    </row>
    <row r="28" spans="1:11" x14ac:dyDescent="0.2">
      <c r="C28" s="93"/>
      <c r="D28" s="94"/>
      <c r="E28" s="94"/>
      <c r="F28" s="94"/>
      <c r="G28" s="94"/>
      <c r="H28" s="94"/>
      <c r="I28" s="94"/>
      <c r="J28" s="94"/>
      <c r="K28" s="95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3"/>
  <sheetViews>
    <sheetView showGridLines="0" tabSelected="1" view="pageBreakPreview" zoomScale="115" zoomScaleNormal="100" zoomScaleSheetLayoutView="115" workbookViewId="0">
      <selection activeCell="B90" sqref="B90:F103"/>
    </sheetView>
  </sheetViews>
  <sheetFormatPr defaultRowHeight="15" x14ac:dyDescent="0.25"/>
  <cols>
    <col min="1" max="1" width="1.42578125" style="11" customWidth="1"/>
    <col min="2" max="2" width="46.85546875" style="11" customWidth="1"/>
    <col min="3" max="6" width="9.140625" style="11"/>
    <col min="7" max="7" width="1.5703125" style="11" customWidth="1"/>
    <col min="8" max="8" width="9.140625" style="11"/>
    <col min="9" max="9" width="42.28515625" style="11" bestFit="1" customWidth="1"/>
    <col min="10" max="16384" width="9.140625" style="11"/>
  </cols>
  <sheetData>
    <row r="1" spans="2:12" ht="6" customHeight="1" x14ac:dyDescent="0.25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2:12" ht="16.5" customHeight="1" x14ac:dyDescent="0.25">
      <c r="B2" s="31" t="s">
        <v>38</v>
      </c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2:12" ht="34.5" customHeight="1" x14ac:dyDescent="0.25">
      <c r="B3" s="122" t="s">
        <v>9</v>
      </c>
      <c r="C3" s="122"/>
      <c r="D3" s="122"/>
      <c r="E3" s="122"/>
      <c r="F3" s="122"/>
      <c r="G3" s="29"/>
      <c r="H3" s="29"/>
      <c r="I3" s="29"/>
      <c r="J3" s="29"/>
      <c r="K3" s="29"/>
      <c r="L3" s="29"/>
    </row>
    <row r="4" spans="2:12" x14ac:dyDescent="0.25">
      <c r="B4" s="32" t="s">
        <v>10</v>
      </c>
      <c r="C4" s="33" t="s">
        <v>11</v>
      </c>
      <c r="D4" s="33" t="s">
        <v>12</v>
      </c>
      <c r="E4" s="33" t="s">
        <v>13</v>
      </c>
      <c r="F4" s="33" t="s">
        <v>3</v>
      </c>
      <c r="G4" s="29"/>
      <c r="H4" s="29"/>
      <c r="I4" s="29"/>
      <c r="J4" s="29"/>
      <c r="K4" s="29"/>
      <c r="L4" s="29"/>
    </row>
    <row r="5" spans="2:12" x14ac:dyDescent="0.25">
      <c r="B5" s="35" t="s">
        <v>64</v>
      </c>
      <c r="C5" s="34"/>
      <c r="D5" s="34"/>
      <c r="E5" s="34"/>
      <c r="F5" s="34"/>
      <c r="G5" s="29"/>
      <c r="H5" s="29"/>
      <c r="I5" s="29"/>
      <c r="J5" s="29"/>
      <c r="K5" s="29"/>
      <c r="L5" s="29"/>
    </row>
    <row r="6" spans="2:12" ht="25.5" x14ac:dyDescent="0.25">
      <c r="B6" s="36" t="s">
        <v>65</v>
      </c>
      <c r="C6" s="46">
        <v>68720</v>
      </c>
      <c r="D6" s="47">
        <f ca="1">'NPV + wsk_rent'!D6</f>
        <v>85900</v>
      </c>
      <c r="E6" s="47">
        <f ca="1">'NPV + wsk_rent'!E6</f>
        <v>106800</v>
      </c>
      <c r="F6" s="17"/>
      <c r="G6" s="29"/>
      <c r="H6" s="29"/>
      <c r="I6" s="29"/>
      <c r="J6" s="29"/>
      <c r="K6" s="29"/>
      <c r="L6" s="29"/>
    </row>
    <row r="7" spans="2:12" x14ac:dyDescent="0.25">
      <c r="B7" s="32" t="s">
        <v>66</v>
      </c>
      <c r="C7" s="48"/>
      <c r="D7" s="48"/>
      <c r="E7" s="48"/>
      <c r="F7" s="17"/>
      <c r="G7" s="29"/>
      <c r="H7" s="29"/>
      <c r="I7" s="29"/>
      <c r="J7" s="29"/>
      <c r="K7" s="29"/>
      <c r="L7" s="29"/>
    </row>
    <row r="8" spans="2:12" x14ac:dyDescent="0.25">
      <c r="B8" s="9" t="s">
        <v>111</v>
      </c>
      <c r="C8" s="46">
        <v>14933.33</v>
      </c>
      <c r="D8" s="46">
        <v>11200</v>
      </c>
      <c r="E8" s="46">
        <v>11200</v>
      </c>
      <c r="F8" s="17"/>
      <c r="G8" s="29"/>
      <c r="H8" s="29"/>
      <c r="I8" s="29"/>
      <c r="J8" s="29"/>
      <c r="K8" s="29"/>
      <c r="L8" s="29"/>
    </row>
    <row r="9" spans="2:12" x14ac:dyDescent="0.25">
      <c r="B9" s="9"/>
      <c r="C9" s="46"/>
      <c r="D9" s="46"/>
      <c r="E9" s="46"/>
      <c r="F9" s="17"/>
      <c r="G9" s="29"/>
      <c r="H9" s="29"/>
      <c r="I9" s="29"/>
      <c r="J9" s="29"/>
      <c r="K9" s="29"/>
      <c r="L9" s="29"/>
    </row>
    <row r="10" spans="2:12" x14ac:dyDescent="0.25">
      <c r="B10" s="37" t="s">
        <v>14</v>
      </c>
      <c r="C10" s="47">
        <f>C6+C8+C9</f>
        <v>83653.33</v>
      </c>
      <c r="D10" s="47">
        <f t="shared" ref="D10:E10" ca="1" si="0">D6+D8+D9</f>
        <v>97100</v>
      </c>
      <c r="E10" s="47">
        <f t="shared" ca="1" si="0"/>
        <v>118000</v>
      </c>
      <c r="F10" s="17"/>
      <c r="G10" s="29"/>
      <c r="H10" s="29"/>
      <c r="I10" s="29"/>
      <c r="J10" s="29"/>
      <c r="K10" s="29"/>
      <c r="L10" s="29"/>
    </row>
    <row r="11" spans="2:12" x14ac:dyDescent="0.25">
      <c r="B11" s="37" t="s">
        <v>67</v>
      </c>
      <c r="C11" s="34"/>
      <c r="D11" s="34"/>
      <c r="E11" s="34"/>
      <c r="F11" s="17"/>
      <c r="G11" s="29"/>
      <c r="H11" s="29"/>
      <c r="I11" s="29"/>
      <c r="J11" s="29"/>
      <c r="K11" s="29"/>
      <c r="L11" s="29"/>
    </row>
    <row r="12" spans="2:12" x14ac:dyDescent="0.25">
      <c r="B12" s="36" t="s">
        <v>68</v>
      </c>
      <c r="C12" s="8">
        <v>4450</v>
      </c>
      <c r="D12" s="8">
        <v>4450</v>
      </c>
      <c r="E12" s="8">
        <v>4450</v>
      </c>
      <c r="F12" s="17"/>
      <c r="G12" s="29"/>
      <c r="H12" s="29"/>
      <c r="I12" s="29"/>
      <c r="J12" s="29"/>
      <c r="K12" s="29"/>
      <c r="L12" s="29"/>
    </row>
    <row r="13" spans="2:12" ht="25.5" x14ac:dyDescent="0.25">
      <c r="B13" s="36" t="s">
        <v>69</v>
      </c>
      <c r="C13" s="8">
        <v>2400</v>
      </c>
      <c r="D13" s="8">
        <v>3400</v>
      </c>
      <c r="E13" s="8">
        <v>3400</v>
      </c>
      <c r="F13" s="17"/>
      <c r="G13" s="29"/>
      <c r="H13" s="29"/>
      <c r="I13" s="29"/>
      <c r="J13" s="29"/>
      <c r="K13" s="29"/>
      <c r="L13" s="29"/>
    </row>
    <row r="14" spans="2:12" x14ac:dyDescent="0.25">
      <c r="B14" s="36" t="s">
        <v>70</v>
      </c>
      <c r="C14" s="8">
        <v>0</v>
      </c>
      <c r="D14" s="8">
        <v>0</v>
      </c>
      <c r="E14" s="8">
        <v>0</v>
      </c>
      <c r="F14" s="17"/>
      <c r="G14" s="29"/>
      <c r="H14" s="29"/>
      <c r="I14" s="29"/>
      <c r="J14" s="29"/>
      <c r="K14" s="29"/>
      <c r="L14" s="29"/>
    </row>
    <row r="15" spans="2:12" x14ac:dyDescent="0.25">
      <c r="B15" s="36" t="s">
        <v>71</v>
      </c>
      <c r="C15" s="8">
        <v>7806.4</v>
      </c>
      <c r="D15" s="8">
        <v>8593.44</v>
      </c>
      <c r="E15" s="8">
        <v>14070.72</v>
      </c>
      <c r="F15" s="17"/>
      <c r="G15" s="29"/>
      <c r="H15" s="29"/>
      <c r="I15" s="29"/>
      <c r="J15" s="29"/>
      <c r="K15" s="29"/>
      <c r="L15" s="29"/>
    </row>
    <row r="16" spans="2:12" x14ac:dyDescent="0.25">
      <c r="B16" s="36" t="s">
        <v>72</v>
      </c>
      <c r="C16" s="8">
        <v>0</v>
      </c>
      <c r="D16" s="8">
        <v>0</v>
      </c>
      <c r="E16" s="8">
        <v>0</v>
      </c>
      <c r="F16" s="17"/>
      <c r="G16" s="29"/>
      <c r="H16" s="29"/>
      <c r="I16" s="29"/>
      <c r="J16" s="29"/>
      <c r="K16" s="29"/>
      <c r="L16" s="29"/>
    </row>
    <row r="17" spans="2:13" x14ac:dyDescent="0.25">
      <c r="B17" s="36" t="s">
        <v>73</v>
      </c>
      <c r="C17" s="8">
        <v>30000</v>
      </c>
      <c r="D17" s="8">
        <v>45000</v>
      </c>
      <c r="E17" s="8">
        <v>55000</v>
      </c>
      <c r="F17" s="17"/>
      <c r="G17" s="29"/>
      <c r="H17" s="29"/>
      <c r="I17" s="29"/>
      <c r="J17" s="29"/>
      <c r="K17" s="29"/>
      <c r="L17" s="29"/>
    </row>
    <row r="18" spans="2:13" x14ac:dyDescent="0.25">
      <c r="B18" s="36" t="s">
        <v>74</v>
      </c>
      <c r="C18" s="8">
        <v>3000</v>
      </c>
      <c r="D18" s="8">
        <v>3000</v>
      </c>
      <c r="E18" s="8">
        <v>3000</v>
      </c>
      <c r="F18" s="17"/>
      <c r="G18" s="29"/>
      <c r="H18" s="29"/>
      <c r="I18" s="124" t="s">
        <v>90</v>
      </c>
      <c r="J18" s="124"/>
      <c r="K18" s="124"/>
      <c r="L18" s="124"/>
    </row>
    <row r="19" spans="2:13" x14ac:dyDescent="0.25">
      <c r="B19" s="36" t="s">
        <v>75</v>
      </c>
      <c r="C19" s="34"/>
      <c r="D19" s="34"/>
      <c r="E19" s="34"/>
      <c r="F19" s="17"/>
      <c r="G19" s="29"/>
      <c r="H19" s="29"/>
      <c r="I19" s="39"/>
      <c r="J19" s="33" t="s">
        <v>11</v>
      </c>
      <c r="K19" s="33" t="s">
        <v>12</v>
      </c>
      <c r="L19" s="33" t="s">
        <v>13</v>
      </c>
    </row>
    <row r="20" spans="2:13" x14ac:dyDescent="0.25">
      <c r="B20" s="30" t="str">
        <f>IF(AND(C20="",D20="",E20="",F20=""),"",I20)</f>
        <v xml:space="preserve">8.1 pozostałe koszty – amortyzacja </v>
      </c>
      <c r="C20" s="49">
        <f>IF(J20=0,"",J20)</f>
        <v>14933.33</v>
      </c>
      <c r="D20" s="49">
        <f t="shared" ref="D20:E21" si="1">IF(K20=0,"",K20)</f>
        <v>11200</v>
      </c>
      <c r="E20" s="49">
        <f t="shared" si="1"/>
        <v>11200</v>
      </c>
      <c r="F20" s="17"/>
      <c r="G20" s="29"/>
      <c r="H20" s="29"/>
      <c r="I20" s="39" t="s">
        <v>86</v>
      </c>
      <c r="J20" s="27">
        <v>14933.33</v>
      </c>
      <c r="K20" s="27">
        <v>11200</v>
      </c>
      <c r="L20" s="27">
        <v>11200</v>
      </c>
      <c r="M20" s="18"/>
    </row>
    <row r="21" spans="2:13" x14ac:dyDescent="0.25">
      <c r="B21" s="42" t="str">
        <f>IF(AND(C21="",D21="",E21="",F21=""),"",I21)</f>
        <v/>
      </c>
      <c r="C21" s="49" t="str">
        <f>IF(J21=0,"",J21)</f>
        <v/>
      </c>
      <c r="D21" s="49" t="str">
        <f t="shared" si="1"/>
        <v/>
      </c>
      <c r="E21" s="49" t="str">
        <f t="shared" si="1"/>
        <v/>
      </c>
      <c r="F21" s="17"/>
      <c r="G21" s="29"/>
      <c r="H21" s="29"/>
      <c r="I21" s="39" t="s">
        <v>80</v>
      </c>
      <c r="J21" s="27">
        <v>0</v>
      </c>
      <c r="K21" s="27">
        <v>0</v>
      </c>
      <c r="L21" s="27">
        <v>0</v>
      </c>
    </row>
    <row r="22" spans="2:13" x14ac:dyDescent="0.25">
      <c r="B22" s="28" t="s">
        <v>112</v>
      </c>
      <c r="C22" s="46">
        <v>500</v>
      </c>
      <c r="D22" s="46">
        <v>0</v>
      </c>
      <c r="E22" s="46">
        <v>0</v>
      </c>
      <c r="F22" s="17"/>
      <c r="G22" s="29"/>
      <c r="H22" s="29"/>
      <c r="I22" s="29"/>
      <c r="J22" s="29"/>
      <c r="K22" s="29"/>
      <c r="L22" s="29"/>
    </row>
    <row r="23" spans="2:13" x14ac:dyDescent="0.25">
      <c r="B23" s="28" t="s">
        <v>113</v>
      </c>
      <c r="C23" s="46">
        <v>1300</v>
      </c>
      <c r="D23" s="46">
        <v>300</v>
      </c>
      <c r="E23" s="46">
        <v>300</v>
      </c>
      <c r="F23" s="17"/>
      <c r="G23" s="29"/>
      <c r="H23" s="29"/>
      <c r="I23" s="29"/>
      <c r="J23" s="29"/>
      <c r="K23" s="29"/>
      <c r="L23" s="29"/>
    </row>
    <row r="24" spans="2:13" x14ac:dyDescent="0.25">
      <c r="B24" s="28" t="s">
        <v>104</v>
      </c>
      <c r="C24" s="46">
        <v>0</v>
      </c>
      <c r="D24" s="46">
        <v>0</v>
      </c>
      <c r="E24" s="46">
        <v>0</v>
      </c>
      <c r="F24" s="17"/>
      <c r="G24" s="29"/>
      <c r="H24" s="29"/>
      <c r="I24" s="29"/>
      <c r="J24" s="29"/>
      <c r="K24" s="29"/>
      <c r="L24" s="29"/>
    </row>
    <row r="25" spans="2:13" x14ac:dyDescent="0.25">
      <c r="B25" s="28" t="s">
        <v>104</v>
      </c>
      <c r="C25" s="50">
        <v>0</v>
      </c>
      <c r="D25" s="50">
        <v>0</v>
      </c>
      <c r="E25" s="50">
        <v>0</v>
      </c>
      <c r="F25" s="38"/>
      <c r="G25" s="29"/>
      <c r="H25" s="29"/>
      <c r="I25" s="29"/>
      <c r="J25" s="29"/>
      <c r="K25" s="29"/>
      <c r="L25" s="29"/>
    </row>
    <row r="26" spans="2:13" x14ac:dyDescent="0.25">
      <c r="B26" s="28" t="s">
        <v>104</v>
      </c>
      <c r="C26" s="50">
        <v>0</v>
      </c>
      <c r="D26" s="50">
        <v>0</v>
      </c>
      <c r="E26" s="50">
        <v>0</v>
      </c>
      <c r="F26" s="38"/>
      <c r="G26" s="29"/>
      <c r="H26" s="29"/>
      <c r="I26" s="29"/>
      <c r="J26" s="29"/>
      <c r="K26" s="29"/>
      <c r="L26" s="29"/>
    </row>
    <row r="27" spans="2:13" x14ac:dyDescent="0.25">
      <c r="B27" s="9" t="s">
        <v>104</v>
      </c>
      <c r="C27" s="46">
        <v>0</v>
      </c>
      <c r="D27" s="46">
        <v>0</v>
      </c>
      <c r="E27" s="46">
        <v>0</v>
      </c>
      <c r="F27" s="17"/>
      <c r="G27" s="29"/>
      <c r="H27" s="29"/>
      <c r="I27" s="29"/>
      <c r="J27" s="29"/>
      <c r="K27" s="29"/>
      <c r="L27" s="29"/>
    </row>
    <row r="28" spans="2:13" x14ac:dyDescent="0.25">
      <c r="B28" s="9" t="s">
        <v>104</v>
      </c>
      <c r="C28" s="46">
        <v>0</v>
      </c>
      <c r="D28" s="46">
        <v>0</v>
      </c>
      <c r="E28" s="46">
        <v>0</v>
      </c>
      <c r="F28" s="17"/>
      <c r="G28" s="29"/>
      <c r="H28" s="29"/>
      <c r="I28" s="29"/>
      <c r="J28" s="29"/>
      <c r="K28" s="29"/>
      <c r="L28" s="29"/>
    </row>
    <row r="29" spans="2:13" x14ac:dyDescent="0.25">
      <c r="B29" s="37" t="s">
        <v>15</v>
      </c>
      <c r="C29" s="47">
        <f>SUM(C12:C18)+SUM(C20:C28)</f>
        <v>64389.73</v>
      </c>
      <c r="D29" s="47">
        <f>SUM(D12:D18)+SUM(D20:D28)</f>
        <v>75943.44</v>
      </c>
      <c r="E29" s="47">
        <f>SUM(E12:E18)+SUM(E20:E28)</f>
        <v>91420.72</v>
      </c>
      <c r="F29" s="17"/>
      <c r="G29" s="29"/>
      <c r="H29" s="29"/>
      <c r="I29" s="29"/>
      <c r="J29" s="29"/>
      <c r="K29" s="29"/>
      <c r="L29" s="29"/>
    </row>
    <row r="30" spans="2:13" x14ac:dyDescent="0.25">
      <c r="B30" s="37" t="s">
        <v>76</v>
      </c>
      <c r="C30" s="47">
        <f>C10-C29</f>
        <v>19263.599999999999</v>
      </c>
      <c r="D30" s="47">
        <f ca="1">D10-D29</f>
        <v>21156.559999999998</v>
      </c>
      <c r="E30" s="47">
        <f ca="1">E10-E29</f>
        <v>26579.279999999999</v>
      </c>
      <c r="F30" s="17"/>
      <c r="G30" s="29"/>
      <c r="H30" s="29"/>
      <c r="I30" s="29"/>
      <c r="J30" s="29"/>
      <c r="K30" s="29"/>
      <c r="L30" s="29"/>
    </row>
    <row r="31" spans="2:13" x14ac:dyDescent="0.25">
      <c r="B31" s="37" t="s">
        <v>77</v>
      </c>
      <c r="C31" s="46">
        <f>C30*18%</f>
        <v>3467.4479999999994</v>
      </c>
      <c r="D31" s="46">
        <f ca="1">D30*18%</f>
        <v>3808.1807999999996</v>
      </c>
      <c r="E31" s="46">
        <f ca="1">E30*18%</f>
        <v>4784.2703999999994</v>
      </c>
      <c r="F31" s="17"/>
      <c r="G31" s="29"/>
      <c r="H31" s="29"/>
      <c r="I31" s="29"/>
      <c r="J31" s="29"/>
      <c r="K31" s="29"/>
      <c r="L31" s="29"/>
    </row>
    <row r="32" spans="2:13" x14ac:dyDescent="0.25">
      <c r="B32" s="37" t="s">
        <v>78</v>
      </c>
      <c r="C32" s="47">
        <f>C30-C31</f>
        <v>15796.151999999998</v>
      </c>
      <c r="D32" s="47">
        <f t="shared" ref="D32:E32" ca="1" si="2">D30-D31</f>
        <v>17348.379199999999</v>
      </c>
      <c r="E32" s="47">
        <f t="shared" ca="1" si="2"/>
        <v>21795.009599999998</v>
      </c>
      <c r="F32" s="17"/>
      <c r="G32" s="29"/>
      <c r="H32" s="29"/>
      <c r="I32" s="29"/>
      <c r="J32" s="29"/>
      <c r="K32" s="29"/>
      <c r="L32" s="29"/>
    </row>
    <row r="33" spans="2:12" x14ac:dyDescent="0.25">
      <c r="B33" s="123" t="s">
        <v>16</v>
      </c>
      <c r="C33" s="123"/>
      <c r="D33" s="123"/>
      <c r="E33" s="123"/>
      <c r="F33" s="123"/>
      <c r="G33" s="29"/>
      <c r="H33" s="29"/>
      <c r="I33" s="29"/>
      <c r="J33" s="29"/>
      <c r="K33" s="29"/>
      <c r="L33" s="29"/>
    </row>
    <row r="34" spans="2:12" x14ac:dyDescent="0.25">
      <c r="B34" s="121" t="s">
        <v>115</v>
      </c>
      <c r="C34" s="121"/>
      <c r="D34" s="121"/>
      <c r="E34" s="121"/>
      <c r="F34" s="121"/>
      <c r="G34" s="29"/>
      <c r="H34" s="29"/>
      <c r="I34" s="29"/>
      <c r="J34" s="29"/>
      <c r="K34" s="29"/>
      <c r="L34" s="29"/>
    </row>
    <row r="35" spans="2:12" x14ac:dyDescent="0.25">
      <c r="B35" s="121"/>
      <c r="C35" s="121"/>
      <c r="D35" s="121"/>
      <c r="E35" s="121"/>
      <c r="F35" s="121"/>
      <c r="G35" s="29"/>
      <c r="H35" s="29"/>
      <c r="I35" s="29"/>
      <c r="J35" s="29"/>
      <c r="K35" s="29"/>
      <c r="L35" s="29"/>
    </row>
    <row r="36" spans="2:12" x14ac:dyDescent="0.25">
      <c r="B36" s="121"/>
      <c r="C36" s="121"/>
      <c r="D36" s="121"/>
      <c r="E36" s="121"/>
      <c r="F36" s="121"/>
      <c r="G36" s="29"/>
      <c r="H36" s="29"/>
      <c r="I36" s="29"/>
      <c r="J36" s="29"/>
      <c r="K36" s="29"/>
      <c r="L36" s="29"/>
    </row>
    <row r="37" spans="2:12" x14ac:dyDescent="0.25">
      <c r="B37" s="121"/>
      <c r="C37" s="121"/>
      <c r="D37" s="121"/>
      <c r="E37" s="121"/>
      <c r="F37" s="121"/>
      <c r="G37" s="29"/>
      <c r="H37" s="29"/>
      <c r="I37" s="29"/>
      <c r="J37" s="29"/>
      <c r="K37" s="29"/>
      <c r="L37" s="29"/>
    </row>
    <row r="38" spans="2:12" x14ac:dyDescent="0.25">
      <c r="B38" s="121"/>
      <c r="C38" s="121"/>
      <c r="D38" s="121"/>
      <c r="E38" s="121"/>
      <c r="F38" s="121"/>
      <c r="G38" s="29"/>
      <c r="H38" s="29"/>
      <c r="I38" s="29"/>
      <c r="J38" s="29"/>
      <c r="K38" s="29"/>
      <c r="L38" s="29"/>
    </row>
    <row r="39" spans="2:12" x14ac:dyDescent="0.25">
      <c r="B39" s="121"/>
      <c r="C39" s="121"/>
      <c r="D39" s="121"/>
      <c r="E39" s="121"/>
      <c r="F39" s="121"/>
      <c r="G39" s="29"/>
      <c r="H39" s="29"/>
      <c r="I39" s="29"/>
      <c r="J39" s="29"/>
      <c r="K39" s="29"/>
      <c r="L39" s="29"/>
    </row>
    <row r="40" spans="2:12" x14ac:dyDescent="0.25">
      <c r="B40" s="121"/>
      <c r="C40" s="121"/>
      <c r="D40" s="121"/>
      <c r="E40" s="121"/>
      <c r="F40" s="121"/>
      <c r="G40" s="29"/>
      <c r="H40" s="29"/>
      <c r="I40" s="29"/>
      <c r="J40" s="29"/>
      <c r="K40" s="29"/>
      <c r="L40" s="29"/>
    </row>
    <row r="41" spans="2:12" x14ac:dyDescent="0.25">
      <c r="B41" s="121"/>
      <c r="C41" s="121"/>
      <c r="D41" s="121"/>
      <c r="E41" s="121"/>
      <c r="F41" s="121"/>
      <c r="G41" s="29"/>
      <c r="H41" s="29"/>
      <c r="I41" s="29"/>
      <c r="J41" s="29"/>
      <c r="K41" s="29"/>
      <c r="L41" s="29"/>
    </row>
    <row r="42" spans="2:12" x14ac:dyDescent="0.25">
      <c r="B42" s="121"/>
      <c r="C42" s="121"/>
      <c r="D42" s="121"/>
      <c r="E42" s="121"/>
      <c r="F42" s="121"/>
      <c r="G42" s="29"/>
      <c r="H42" s="29"/>
      <c r="I42" s="29"/>
      <c r="J42" s="29"/>
      <c r="K42" s="29"/>
      <c r="L42" s="29"/>
    </row>
    <row r="43" spans="2:12" x14ac:dyDescent="0.25">
      <c r="B43" s="121"/>
      <c r="C43" s="121"/>
      <c r="D43" s="121"/>
      <c r="E43" s="121"/>
      <c r="F43" s="121"/>
      <c r="G43" s="29"/>
      <c r="H43" s="29"/>
      <c r="I43" s="29"/>
      <c r="J43" s="29"/>
      <c r="K43" s="29"/>
      <c r="L43" s="29"/>
    </row>
    <row r="44" spans="2:12" x14ac:dyDescent="0.25">
      <c r="B44" s="121"/>
      <c r="C44" s="121"/>
      <c r="D44" s="121"/>
      <c r="E44" s="121"/>
      <c r="F44" s="121"/>
      <c r="G44" s="29"/>
      <c r="H44" s="29"/>
      <c r="I44" s="29"/>
      <c r="J44" s="29"/>
      <c r="K44" s="29"/>
      <c r="L44" s="29"/>
    </row>
    <row r="45" spans="2:12" x14ac:dyDescent="0.25">
      <c r="B45" s="121"/>
      <c r="C45" s="121"/>
      <c r="D45" s="121"/>
      <c r="E45" s="121"/>
      <c r="F45" s="121"/>
      <c r="G45" s="29"/>
      <c r="H45" s="29"/>
      <c r="I45" s="29"/>
      <c r="J45" s="29"/>
      <c r="K45" s="29"/>
      <c r="L45" s="29"/>
    </row>
    <row r="46" spans="2:12" x14ac:dyDescent="0.25">
      <c r="B46" s="121"/>
      <c r="C46" s="121"/>
      <c r="D46" s="121"/>
      <c r="E46" s="121"/>
      <c r="F46" s="121"/>
      <c r="G46" s="29"/>
      <c r="H46" s="29"/>
      <c r="I46" s="29"/>
      <c r="J46" s="29"/>
      <c r="K46" s="29"/>
      <c r="L46" s="29"/>
    </row>
    <row r="47" spans="2:12" x14ac:dyDescent="0.25">
      <c r="B47" s="121"/>
      <c r="C47" s="121"/>
      <c r="D47" s="121"/>
      <c r="E47" s="121"/>
      <c r="F47" s="121"/>
      <c r="G47" s="29"/>
      <c r="H47" s="29"/>
      <c r="I47" s="29"/>
      <c r="J47" s="29"/>
      <c r="K47" s="29"/>
      <c r="L47" s="29"/>
    </row>
    <row r="48" spans="2:12" ht="8.25" customHeight="1" x14ac:dyDescent="0.25">
      <c r="B48" s="121" t="s">
        <v>116</v>
      </c>
      <c r="C48" s="121"/>
      <c r="D48" s="121"/>
      <c r="E48" s="121"/>
      <c r="F48" s="121"/>
      <c r="G48" s="29"/>
      <c r="H48" s="29"/>
      <c r="I48" s="29"/>
      <c r="J48" s="29"/>
      <c r="K48" s="29"/>
      <c r="L48" s="29"/>
    </row>
    <row r="49" spans="2:6" x14ac:dyDescent="0.25">
      <c r="B49" s="121"/>
      <c r="C49" s="121"/>
      <c r="D49" s="121"/>
      <c r="E49" s="121"/>
      <c r="F49" s="121"/>
    </row>
    <row r="50" spans="2:6" x14ac:dyDescent="0.25">
      <c r="B50" s="121"/>
      <c r="C50" s="121"/>
      <c r="D50" s="121"/>
      <c r="E50" s="121"/>
      <c r="F50" s="121"/>
    </row>
    <row r="51" spans="2:6" x14ac:dyDescent="0.25">
      <c r="B51" s="121"/>
      <c r="C51" s="121"/>
      <c r="D51" s="121"/>
      <c r="E51" s="121"/>
      <c r="F51" s="121"/>
    </row>
    <row r="52" spans="2:6" x14ac:dyDescent="0.25">
      <c r="B52" s="121"/>
      <c r="C52" s="121"/>
      <c r="D52" s="121"/>
      <c r="E52" s="121"/>
      <c r="F52" s="121"/>
    </row>
    <row r="53" spans="2:6" x14ac:dyDescent="0.25">
      <c r="B53" s="121"/>
      <c r="C53" s="121"/>
      <c r="D53" s="121"/>
      <c r="E53" s="121"/>
      <c r="F53" s="121"/>
    </row>
    <row r="54" spans="2:6" x14ac:dyDescent="0.25">
      <c r="B54" s="121"/>
      <c r="C54" s="121"/>
      <c r="D54" s="121"/>
      <c r="E54" s="121"/>
      <c r="F54" s="121"/>
    </row>
    <row r="55" spans="2:6" x14ac:dyDescent="0.25">
      <c r="B55" s="121"/>
      <c r="C55" s="121"/>
      <c r="D55" s="121"/>
      <c r="E55" s="121"/>
      <c r="F55" s="121"/>
    </row>
    <row r="56" spans="2:6" x14ac:dyDescent="0.25">
      <c r="B56" s="121"/>
      <c r="C56" s="121"/>
      <c r="D56" s="121"/>
      <c r="E56" s="121"/>
      <c r="F56" s="121"/>
    </row>
    <row r="57" spans="2:6" x14ac:dyDescent="0.25">
      <c r="B57" s="121"/>
      <c r="C57" s="121"/>
      <c r="D57" s="121"/>
      <c r="E57" s="121"/>
      <c r="F57" s="121"/>
    </row>
    <row r="58" spans="2:6" x14ac:dyDescent="0.25">
      <c r="B58" s="121"/>
      <c r="C58" s="121"/>
      <c r="D58" s="121"/>
      <c r="E58" s="121"/>
      <c r="F58" s="121"/>
    </row>
    <row r="59" spans="2:6" x14ac:dyDescent="0.25">
      <c r="B59" s="121"/>
      <c r="C59" s="121"/>
      <c r="D59" s="121"/>
      <c r="E59" s="121"/>
      <c r="F59" s="121"/>
    </row>
    <row r="60" spans="2:6" x14ac:dyDescent="0.25">
      <c r="B60" s="121"/>
      <c r="C60" s="121"/>
      <c r="D60" s="121"/>
      <c r="E60" s="121"/>
      <c r="F60" s="121"/>
    </row>
    <row r="61" spans="2:6" x14ac:dyDescent="0.25">
      <c r="B61" s="121"/>
      <c r="C61" s="121"/>
      <c r="D61" s="121"/>
      <c r="E61" s="121"/>
      <c r="F61" s="121"/>
    </row>
    <row r="62" spans="2:6" x14ac:dyDescent="0.25">
      <c r="B62" s="121" t="s">
        <v>117</v>
      </c>
      <c r="C62" s="121"/>
      <c r="D62" s="121"/>
      <c r="E62" s="121"/>
      <c r="F62" s="121"/>
    </row>
    <row r="63" spans="2:6" x14ac:dyDescent="0.25">
      <c r="B63" s="121"/>
      <c r="C63" s="121"/>
      <c r="D63" s="121"/>
      <c r="E63" s="121"/>
      <c r="F63" s="121"/>
    </row>
    <row r="64" spans="2:6" x14ac:dyDescent="0.25">
      <c r="B64" s="121"/>
      <c r="C64" s="121"/>
      <c r="D64" s="121"/>
      <c r="E64" s="121"/>
      <c r="F64" s="121"/>
    </row>
    <row r="65" spans="2:6" x14ac:dyDescent="0.25">
      <c r="B65" s="121"/>
      <c r="C65" s="121"/>
      <c r="D65" s="121"/>
      <c r="E65" s="121"/>
      <c r="F65" s="121"/>
    </row>
    <row r="66" spans="2:6" x14ac:dyDescent="0.25">
      <c r="B66" s="121"/>
      <c r="C66" s="121"/>
      <c r="D66" s="121"/>
      <c r="E66" s="121"/>
      <c r="F66" s="121"/>
    </row>
    <row r="67" spans="2:6" x14ac:dyDescent="0.25">
      <c r="B67" s="121"/>
      <c r="C67" s="121"/>
      <c r="D67" s="121"/>
      <c r="E67" s="121"/>
      <c r="F67" s="121"/>
    </row>
    <row r="68" spans="2:6" x14ac:dyDescent="0.25">
      <c r="B68" s="121"/>
      <c r="C68" s="121"/>
      <c r="D68" s="121"/>
      <c r="E68" s="121"/>
      <c r="F68" s="121"/>
    </row>
    <row r="69" spans="2:6" x14ac:dyDescent="0.25">
      <c r="B69" s="121"/>
      <c r="C69" s="121"/>
      <c r="D69" s="121"/>
      <c r="E69" s="121"/>
      <c r="F69" s="121"/>
    </row>
    <row r="70" spans="2:6" x14ac:dyDescent="0.25">
      <c r="B70" s="121"/>
      <c r="C70" s="121"/>
      <c r="D70" s="121"/>
      <c r="E70" s="121"/>
      <c r="F70" s="121"/>
    </row>
    <row r="71" spans="2:6" x14ac:dyDescent="0.25">
      <c r="B71" s="121"/>
      <c r="C71" s="121"/>
      <c r="D71" s="121"/>
      <c r="E71" s="121"/>
      <c r="F71" s="121"/>
    </row>
    <row r="72" spans="2:6" x14ac:dyDescent="0.25">
      <c r="B72" s="121"/>
      <c r="C72" s="121"/>
      <c r="D72" s="121"/>
      <c r="E72" s="121"/>
      <c r="F72" s="121"/>
    </row>
    <row r="73" spans="2:6" x14ac:dyDescent="0.25">
      <c r="B73" s="121"/>
      <c r="C73" s="121"/>
      <c r="D73" s="121"/>
      <c r="E73" s="121"/>
      <c r="F73" s="121"/>
    </row>
    <row r="74" spans="2:6" x14ac:dyDescent="0.25">
      <c r="B74" s="121"/>
      <c r="C74" s="121"/>
      <c r="D74" s="121"/>
      <c r="E74" s="121"/>
      <c r="F74" s="121"/>
    </row>
    <row r="75" spans="2:6" x14ac:dyDescent="0.25">
      <c r="B75" s="121"/>
      <c r="C75" s="121"/>
      <c r="D75" s="121"/>
      <c r="E75" s="121"/>
      <c r="F75" s="121"/>
    </row>
    <row r="76" spans="2:6" x14ac:dyDescent="0.25">
      <c r="B76" s="121" t="s">
        <v>118</v>
      </c>
      <c r="C76" s="121"/>
      <c r="D76" s="121"/>
      <c r="E76" s="121"/>
      <c r="F76" s="121"/>
    </row>
    <row r="77" spans="2:6" x14ac:dyDescent="0.25">
      <c r="B77" s="121"/>
      <c r="C77" s="121"/>
      <c r="D77" s="121"/>
      <c r="E77" s="121"/>
      <c r="F77" s="121"/>
    </row>
    <row r="78" spans="2:6" x14ac:dyDescent="0.25">
      <c r="B78" s="121"/>
      <c r="C78" s="121"/>
      <c r="D78" s="121"/>
      <c r="E78" s="121"/>
      <c r="F78" s="121"/>
    </row>
    <row r="79" spans="2:6" x14ac:dyDescent="0.25">
      <c r="B79" s="121"/>
      <c r="C79" s="121"/>
      <c r="D79" s="121"/>
      <c r="E79" s="121"/>
      <c r="F79" s="121"/>
    </row>
    <row r="80" spans="2:6" x14ac:dyDescent="0.25">
      <c r="B80" s="121"/>
      <c r="C80" s="121"/>
      <c r="D80" s="121"/>
      <c r="E80" s="121"/>
      <c r="F80" s="121"/>
    </row>
    <row r="81" spans="2:6" x14ac:dyDescent="0.25">
      <c r="B81" s="121"/>
      <c r="C81" s="121"/>
      <c r="D81" s="121"/>
      <c r="E81" s="121"/>
      <c r="F81" s="121"/>
    </row>
    <row r="82" spans="2:6" x14ac:dyDescent="0.25">
      <c r="B82" s="121"/>
      <c r="C82" s="121"/>
      <c r="D82" s="121"/>
      <c r="E82" s="121"/>
      <c r="F82" s="121"/>
    </row>
    <row r="83" spans="2:6" x14ac:dyDescent="0.25">
      <c r="B83" s="121"/>
      <c r="C83" s="121"/>
      <c r="D83" s="121"/>
      <c r="E83" s="121"/>
      <c r="F83" s="121"/>
    </row>
    <row r="84" spans="2:6" x14ac:dyDescent="0.25">
      <c r="B84" s="121"/>
      <c r="C84" s="121"/>
      <c r="D84" s="121"/>
      <c r="E84" s="121"/>
      <c r="F84" s="121"/>
    </row>
    <row r="85" spans="2:6" x14ac:dyDescent="0.25">
      <c r="B85" s="121"/>
      <c r="C85" s="121"/>
      <c r="D85" s="121"/>
      <c r="E85" s="121"/>
      <c r="F85" s="121"/>
    </row>
    <row r="86" spans="2:6" x14ac:dyDescent="0.25">
      <c r="B86" s="121"/>
      <c r="C86" s="121"/>
      <c r="D86" s="121"/>
      <c r="E86" s="121"/>
      <c r="F86" s="121"/>
    </row>
    <row r="87" spans="2:6" x14ac:dyDescent="0.25">
      <c r="B87" s="121"/>
      <c r="C87" s="121"/>
      <c r="D87" s="121"/>
      <c r="E87" s="121"/>
      <c r="F87" s="121"/>
    </row>
    <row r="88" spans="2:6" x14ac:dyDescent="0.25">
      <c r="B88" s="121"/>
      <c r="C88" s="121"/>
      <c r="D88" s="121"/>
      <c r="E88" s="121"/>
      <c r="F88" s="121"/>
    </row>
    <row r="89" spans="2:6" x14ac:dyDescent="0.25">
      <c r="B89" s="121"/>
      <c r="C89" s="121"/>
      <c r="D89" s="121"/>
      <c r="E89" s="121"/>
      <c r="F89" s="121"/>
    </row>
    <row r="90" spans="2:6" x14ac:dyDescent="0.25">
      <c r="B90" s="121" t="s">
        <v>119</v>
      </c>
      <c r="C90" s="121"/>
      <c r="D90" s="121"/>
      <c r="E90" s="121"/>
      <c r="F90" s="121"/>
    </row>
    <row r="91" spans="2:6" x14ac:dyDescent="0.25">
      <c r="B91" s="121"/>
      <c r="C91" s="121"/>
      <c r="D91" s="121"/>
      <c r="E91" s="121"/>
      <c r="F91" s="121"/>
    </row>
    <row r="92" spans="2:6" x14ac:dyDescent="0.25">
      <c r="B92" s="121"/>
      <c r="C92" s="121"/>
      <c r="D92" s="121"/>
      <c r="E92" s="121"/>
      <c r="F92" s="121"/>
    </row>
    <row r="93" spans="2:6" x14ac:dyDescent="0.25">
      <c r="B93" s="121"/>
      <c r="C93" s="121"/>
      <c r="D93" s="121"/>
      <c r="E93" s="121"/>
      <c r="F93" s="121"/>
    </row>
    <row r="94" spans="2:6" x14ac:dyDescent="0.25">
      <c r="B94" s="121"/>
      <c r="C94" s="121"/>
      <c r="D94" s="121"/>
      <c r="E94" s="121"/>
      <c r="F94" s="121"/>
    </row>
    <row r="95" spans="2:6" x14ac:dyDescent="0.25">
      <c r="B95" s="121"/>
      <c r="C95" s="121"/>
      <c r="D95" s="121"/>
      <c r="E95" s="121"/>
      <c r="F95" s="121"/>
    </row>
    <row r="96" spans="2:6" x14ac:dyDescent="0.25">
      <c r="B96" s="121"/>
      <c r="C96" s="121"/>
      <c r="D96" s="121"/>
      <c r="E96" s="121"/>
      <c r="F96" s="121"/>
    </row>
    <row r="97" spans="2:6" x14ac:dyDescent="0.25">
      <c r="B97" s="121"/>
      <c r="C97" s="121"/>
      <c r="D97" s="121"/>
      <c r="E97" s="121"/>
      <c r="F97" s="121"/>
    </row>
    <row r="98" spans="2:6" x14ac:dyDescent="0.25">
      <c r="B98" s="121"/>
      <c r="C98" s="121"/>
      <c r="D98" s="121"/>
      <c r="E98" s="121"/>
      <c r="F98" s="121"/>
    </row>
    <row r="99" spans="2:6" x14ac:dyDescent="0.25">
      <c r="B99" s="121"/>
      <c r="C99" s="121"/>
      <c r="D99" s="121"/>
      <c r="E99" s="121"/>
      <c r="F99" s="121"/>
    </row>
    <row r="100" spans="2:6" x14ac:dyDescent="0.25">
      <c r="B100" s="121"/>
      <c r="C100" s="121"/>
      <c r="D100" s="121"/>
      <c r="E100" s="121"/>
      <c r="F100" s="121"/>
    </row>
    <row r="101" spans="2:6" x14ac:dyDescent="0.25">
      <c r="B101" s="121"/>
      <c r="C101" s="121"/>
      <c r="D101" s="121"/>
      <c r="E101" s="121"/>
      <c r="F101" s="121"/>
    </row>
    <row r="102" spans="2:6" x14ac:dyDescent="0.25">
      <c r="B102" s="121"/>
      <c r="C102" s="121"/>
      <c r="D102" s="121"/>
      <c r="E102" s="121"/>
      <c r="F102" s="121"/>
    </row>
    <row r="103" spans="2:6" x14ac:dyDescent="0.25">
      <c r="B103" s="121"/>
      <c r="C103" s="121"/>
      <c r="D103" s="121"/>
      <c r="E103" s="121"/>
      <c r="F103" s="121"/>
    </row>
  </sheetData>
  <sheetProtection sheet="1" objects="1" scenarios="1"/>
  <mergeCells count="8">
    <mergeCell ref="I18:L18"/>
    <mergeCell ref="B48:F61"/>
    <mergeCell ref="B62:F75"/>
    <mergeCell ref="B76:F89"/>
    <mergeCell ref="B90:F103"/>
    <mergeCell ref="B34:F47"/>
    <mergeCell ref="B3:F3"/>
    <mergeCell ref="B33:F33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F20"/>
    <dataValidation allowBlank="1" showInputMessage="1" showErrorMessage="1" prompt="Wiersz wypełniany automatycznie na podstawie Tabeli pomocniczej nr. 3_x000a__x000a_" sqref="B20:E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view="pageBreakPreview" zoomScale="115" zoomScaleNormal="100" zoomScaleSheetLayoutView="115" workbookViewId="0">
      <selection activeCell="B12" sqref="B1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6.5" customHeight="1" x14ac:dyDescent="0.25">
      <c r="A2" s="25"/>
      <c r="B2" s="25" t="s">
        <v>36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x14ac:dyDescent="0.25">
      <c r="A3" s="25"/>
      <c r="B3" s="129" t="s">
        <v>17</v>
      </c>
      <c r="C3" s="22" t="s">
        <v>18</v>
      </c>
      <c r="D3" s="129" t="s">
        <v>20</v>
      </c>
      <c r="E3" s="129" t="s">
        <v>21</v>
      </c>
      <c r="F3" s="129" t="s">
        <v>22</v>
      </c>
      <c r="G3" s="25"/>
      <c r="H3" s="25"/>
      <c r="I3" s="25"/>
      <c r="J3" s="25"/>
      <c r="K3" s="25"/>
      <c r="L3" s="25"/>
      <c r="M3" s="25"/>
      <c r="N3" s="25"/>
      <c r="O3" s="25"/>
    </row>
    <row r="4" spans="1:15" ht="33.75" customHeight="1" x14ac:dyDescent="0.25">
      <c r="A4" s="25"/>
      <c r="B4" s="129"/>
      <c r="C4" s="22" t="s">
        <v>19</v>
      </c>
      <c r="D4" s="129"/>
      <c r="E4" s="129"/>
      <c r="F4" s="129"/>
      <c r="G4" s="25"/>
      <c r="H4" s="25"/>
      <c r="I4" s="25"/>
      <c r="J4" s="25"/>
      <c r="K4" s="25"/>
      <c r="L4" s="25"/>
      <c r="M4" s="25"/>
      <c r="N4" s="25"/>
      <c r="O4" s="25"/>
    </row>
    <row r="5" spans="1:15" x14ac:dyDescent="0.25">
      <c r="A5" s="25"/>
      <c r="B5" s="4" t="s">
        <v>23</v>
      </c>
      <c r="C5" s="52">
        <f>Zakres!O24</f>
        <v>80000</v>
      </c>
      <c r="D5" s="52"/>
      <c r="E5" s="52"/>
      <c r="F5" s="23"/>
      <c r="G5" s="25"/>
      <c r="H5" s="25"/>
      <c r="I5" s="25"/>
      <c r="J5" s="25"/>
      <c r="K5" s="25"/>
      <c r="L5" s="25"/>
      <c r="M5" s="25"/>
      <c r="N5" s="25"/>
      <c r="O5" s="25"/>
    </row>
    <row r="6" spans="1:15" ht="34.5" customHeight="1" x14ac:dyDescent="0.25">
      <c r="A6" s="25"/>
      <c r="B6" s="4" t="s">
        <v>24</v>
      </c>
      <c r="C6" s="52">
        <f>RZS!C6</f>
        <v>68720</v>
      </c>
      <c r="D6" s="52">
        <f ca="1">SUMPRODUCT(Przychody!E7:OFFSET(uzasadnienie,-4,2),Przychody!G7:OFFSET(uzasadnienie,-4,4))</f>
        <v>85900</v>
      </c>
      <c r="E6" s="52">
        <f ca="1">SUMPRODUCT(Przychody!H7:OFFSET(uzasadnienie,-4,5),Przychody!I7:OFFSET(uzasadnienie,-4,6))</f>
        <v>106800</v>
      </c>
      <c r="F6" s="23"/>
      <c r="G6" s="25"/>
      <c r="H6" s="25"/>
      <c r="I6" s="25"/>
      <c r="J6" s="25"/>
      <c r="K6" s="25"/>
      <c r="L6" s="25"/>
      <c r="M6" s="25"/>
      <c r="N6" s="25"/>
      <c r="O6" s="25"/>
    </row>
    <row r="7" spans="1:15" ht="31.5" customHeight="1" x14ac:dyDescent="0.25">
      <c r="A7" s="25"/>
      <c r="B7" s="4" t="s">
        <v>25</v>
      </c>
      <c r="C7" s="52">
        <f>RZS!C29</f>
        <v>64389.73</v>
      </c>
      <c r="D7" s="52">
        <f>RZS!D29</f>
        <v>75943.44</v>
      </c>
      <c r="E7" s="52">
        <f>RZS!E29</f>
        <v>91420.72</v>
      </c>
      <c r="F7" s="23"/>
      <c r="G7" s="25"/>
      <c r="H7" s="25"/>
      <c r="I7" s="25"/>
      <c r="J7" s="25"/>
      <c r="K7" s="25"/>
      <c r="L7" s="25"/>
      <c r="M7" s="25"/>
      <c r="N7" s="25"/>
      <c r="O7" s="25"/>
    </row>
    <row r="8" spans="1:15" x14ac:dyDescent="0.25">
      <c r="A8" s="25"/>
      <c r="B8" s="4" t="s">
        <v>26</v>
      </c>
      <c r="C8" s="52">
        <f>C6-C7</f>
        <v>4330.2699999999968</v>
      </c>
      <c r="D8" s="52">
        <f t="shared" ref="D8:E8" ca="1" si="0">D6-D7</f>
        <v>9956.5599999999977</v>
      </c>
      <c r="E8" s="52">
        <f t="shared" ca="1" si="0"/>
        <v>15379.279999999999</v>
      </c>
      <c r="F8" s="23"/>
      <c r="G8" s="25"/>
      <c r="H8" s="25"/>
      <c r="I8" s="25"/>
      <c r="J8" s="25"/>
      <c r="K8" s="25"/>
      <c r="L8" s="25"/>
      <c r="M8" s="25"/>
      <c r="N8" s="25"/>
      <c r="O8" s="25"/>
    </row>
    <row r="9" spans="1:15" ht="22.5" customHeight="1" x14ac:dyDescent="0.25">
      <c r="A9" s="25"/>
      <c r="B9" s="5" t="s">
        <v>27</v>
      </c>
      <c r="C9" s="130">
        <f>RZS!C31</f>
        <v>3467.4479999999994</v>
      </c>
      <c r="D9" s="130">
        <f ca="1">RZS!D31</f>
        <v>3808.1807999999996</v>
      </c>
      <c r="E9" s="130">
        <f ca="1">RZS!E31</f>
        <v>4784.2703999999994</v>
      </c>
      <c r="F9" s="131"/>
      <c r="G9" s="25"/>
      <c r="H9" s="25"/>
      <c r="I9" s="25"/>
      <c r="J9" s="25"/>
      <c r="K9" s="25"/>
      <c r="L9" s="25"/>
      <c r="M9" s="25"/>
      <c r="N9" s="25"/>
      <c r="O9" s="25"/>
    </row>
    <row r="10" spans="1:15" ht="17.25" customHeight="1" x14ac:dyDescent="0.25">
      <c r="A10" s="25"/>
      <c r="B10" s="72">
        <v>0.18</v>
      </c>
      <c r="C10" s="130"/>
      <c r="D10" s="130"/>
      <c r="E10" s="130"/>
      <c r="F10" s="131"/>
      <c r="G10" s="25"/>
      <c r="H10" s="25"/>
      <c r="I10" s="25"/>
      <c r="J10" s="25"/>
      <c r="K10" s="25"/>
      <c r="L10" s="25"/>
      <c r="M10" s="25"/>
      <c r="N10" s="25"/>
      <c r="O10" s="25"/>
    </row>
    <row r="11" spans="1:15" x14ac:dyDescent="0.25">
      <c r="A11" s="25"/>
      <c r="B11" s="5" t="s">
        <v>28</v>
      </c>
      <c r="C11" s="52">
        <f>C8-C9</f>
        <v>862.82199999999739</v>
      </c>
      <c r="D11" s="52">
        <f t="shared" ref="D11:E11" ca="1" si="1">D8-D9</f>
        <v>6148.3791999999976</v>
      </c>
      <c r="E11" s="52">
        <f t="shared" ca="1" si="1"/>
        <v>10595.009599999999</v>
      </c>
      <c r="F11" s="23"/>
      <c r="G11" s="25"/>
      <c r="H11" s="25"/>
      <c r="I11" s="25"/>
      <c r="J11" s="25"/>
      <c r="K11" s="25"/>
      <c r="L11" s="25"/>
      <c r="M11" s="25"/>
      <c r="N11" s="25"/>
      <c r="O11" s="25"/>
    </row>
    <row r="12" spans="1:15" x14ac:dyDescent="0.25">
      <c r="A12" s="25"/>
      <c r="B12" s="5" t="s">
        <v>29</v>
      </c>
      <c r="C12" s="53"/>
      <c r="D12" s="53"/>
      <c r="E12" s="54">
        <f>Zakres!O25-SUM(RZS!J20:L20)</f>
        <v>42666.67</v>
      </c>
      <c r="F12" s="19"/>
      <c r="G12" s="25"/>
      <c r="H12" s="25"/>
      <c r="I12" s="25"/>
      <c r="J12" s="25"/>
      <c r="K12" s="25"/>
      <c r="L12" s="25"/>
      <c r="M12" s="25"/>
      <c r="N12" s="25"/>
      <c r="O12" s="25"/>
    </row>
    <row r="13" spans="1:15" x14ac:dyDescent="0.25">
      <c r="A13" s="25"/>
      <c r="B13" s="5" t="s">
        <v>30</v>
      </c>
      <c r="C13" s="52">
        <f>IF(RZS!C20="",0,RZS!C20)+IF(RZS!C21="",0,RZS!C21)</f>
        <v>14933.33</v>
      </c>
      <c r="D13" s="52">
        <f>IF(RZS!D20="",0,RZS!D20)+IF(RZS!D21="",0,RZS!D21)</f>
        <v>11200</v>
      </c>
      <c r="E13" s="52">
        <f>IF(RZS!E20="",0,RZS!E20)+IF(RZS!E21="",0,RZS!E21)</f>
        <v>11200</v>
      </c>
      <c r="F13" s="23"/>
      <c r="G13" s="25"/>
      <c r="H13" s="25"/>
      <c r="I13" s="25"/>
      <c r="J13" s="25"/>
      <c r="K13" s="25"/>
      <c r="L13" s="25"/>
      <c r="M13" s="25"/>
      <c r="N13" s="25"/>
      <c r="O13" s="25"/>
    </row>
    <row r="14" spans="1:15" x14ac:dyDescent="0.25">
      <c r="A14" s="25"/>
      <c r="B14" s="5" t="s">
        <v>31</v>
      </c>
      <c r="C14" s="52">
        <f t="shared" ref="C14:D14" si="2">(-C5)+C11+C13</f>
        <v>-64203.847999999998</v>
      </c>
      <c r="D14" s="52">
        <f t="shared" ca="1" si="2"/>
        <v>17348.379199999996</v>
      </c>
      <c r="E14" s="52">
        <f ca="1">(-E5)+E11+E13+E12</f>
        <v>64461.679599999996</v>
      </c>
      <c r="F14" s="23"/>
      <c r="G14" s="25"/>
      <c r="H14" s="25"/>
      <c r="I14" s="25"/>
      <c r="J14" s="25"/>
      <c r="K14" s="25"/>
      <c r="L14" s="25"/>
      <c r="M14" s="25"/>
      <c r="N14" s="25"/>
      <c r="O14" s="25"/>
    </row>
    <row r="15" spans="1:15" ht="25.5" x14ac:dyDescent="0.25">
      <c r="A15" s="25"/>
      <c r="B15" s="5" t="s">
        <v>32</v>
      </c>
      <c r="C15" s="51">
        <f>1/(1+$G15)^0</f>
        <v>1</v>
      </c>
      <c r="D15" s="51">
        <f>ROUND(1/(1+$G15)^1,4)</f>
        <v>0.97250000000000003</v>
      </c>
      <c r="E15" s="51">
        <f>ROUND(1/(1+$G15)^2,4)</f>
        <v>0.94569999999999999</v>
      </c>
      <c r="F15" s="20"/>
      <c r="G15" s="24">
        <v>2.8299999999999999E-2</v>
      </c>
      <c r="H15" s="25"/>
      <c r="I15" s="25"/>
      <c r="J15" s="25"/>
      <c r="K15" s="25"/>
      <c r="L15" s="25"/>
      <c r="M15" s="25"/>
      <c r="N15" s="25"/>
      <c r="O15" s="25"/>
    </row>
    <row r="16" spans="1:15" x14ac:dyDescent="0.25">
      <c r="A16" s="25"/>
      <c r="B16" s="6" t="s">
        <v>33</v>
      </c>
      <c r="C16" s="125">
        <f ca="1">SUMPRODUCT(C14:E14,C15:E15)</f>
        <v>13628.861169719989</v>
      </c>
      <c r="D16" s="125"/>
      <c r="E16" s="126"/>
      <c r="F16" s="126"/>
      <c r="G16" s="25"/>
      <c r="H16" s="25"/>
      <c r="I16" s="25"/>
      <c r="J16" s="25"/>
      <c r="K16" s="25"/>
      <c r="L16" s="25"/>
      <c r="M16" s="25"/>
      <c r="N16" s="25"/>
      <c r="O16" s="25"/>
    </row>
    <row r="17" spans="1:15" x14ac:dyDescent="0.2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x14ac:dyDescent="0.25">
      <c r="A18" s="25"/>
      <c r="B18" s="25"/>
      <c r="C18" s="25"/>
      <c r="D18" s="25"/>
      <c r="E18" s="25"/>
      <c r="F18" s="25"/>
      <c r="G18" s="25"/>
      <c r="H18" s="25" t="s">
        <v>83</v>
      </c>
      <c r="I18" s="25"/>
      <c r="J18" s="25"/>
      <c r="K18" s="25"/>
      <c r="L18" s="25"/>
      <c r="M18" s="25"/>
      <c r="N18" s="25"/>
      <c r="O18" s="25"/>
    </row>
    <row r="19" spans="1:15" x14ac:dyDescent="0.25">
      <c r="A19" s="25"/>
      <c r="B19" s="25" t="s">
        <v>37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x14ac:dyDescent="0.25">
      <c r="A20" s="25"/>
      <c r="B20" s="127"/>
      <c r="C20" s="128" t="s">
        <v>34</v>
      </c>
      <c r="D20" s="128" t="s">
        <v>20</v>
      </c>
      <c r="E20" s="128" t="s">
        <v>21</v>
      </c>
      <c r="F20" s="128" t="s">
        <v>22</v>
      </c>
      <c r="G20" s="3"/>
      <c r="H20" s="25"/>
      <c r="I20" s="25"/>
      <c r="J20" s="25"/>
      <c r="K20" s="25"/>
      <c r="L20" s="25"/>
      <c r="M20" s="25"/>
      <c r="N20" s="25"/>
      <c r="O20" s="25"/>
    </row>
    <row r="21" spans="1:15" x14ac:dyDescent="0.25">
      <c r="A21" s="25"/>
      <c r="B21" s="127"/>
      <c r="C21" s="128"/>
      <c r="D21" s="128"/>
      <c r="E21" s="128"/>
      <c r="F21" s="128"/>
      <c r="G21" s="3"/>
      <c r="H21" s="25"/>
      <c r="I21" s="25"/>
      <c r="J21" s="25"/>
      <c r="K21" s="25"/>
      <c r="L21" s="25"/>
      <c r="M21" s="25"/>
      <c r="N21" s="25"/>
      <c r="O21" s="25"/>
    </row>
    <row r="22" spans="1:15" ht="25.5" x14ac:dyDescent="0.25">
      <c r="A22" s="25"/>
      <c r="B22" s="1" t="s">
        <v>35</v>
      </c>
      <c r="C22" s="7">
        <f>IF(RZS!C6=0,"",RZS!C30/RZS!C6*100%)</f>
        <v>0.28032013969732245</v>
      </c>
      <c r="D22" s="7">
        <f ca="1">IF(RZS!D6=0,"",RZS!D30/RZS!D6*100%)</f>
        <v>0.24629289871944118</v>
      </c>
      <c r="E22" s="7">
        <f ca="1">IF(RZS!E6=0,"",RZS!E30/RZS!E6*100%)</f>
        <v>0.24886966292134829</v>
      </c>
      <c r="F22" s="21" t="str">
        <f>IF(RZS!F6=0,"",RZS!F30/RZS!F6*100%)</f>
        <v/>
      </c>
      <c r="G22" s="3"/>
      <c r="H22" s="25"/>
      <c r="I22" s="25"/>
      <c r="J22" s="25"/>
      <c r="K22" s="25"/>
      <c r="L22" s="25"/>
      <c r="M22" s="25"/>
      <c r="N22" s="25"/>
      <c r="O22" s="25"/>
    </row>
    <row r="23" spans="1:15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pc</cp:lastModifiedBy>
  <cp:lastPrinted>2017-11-15T13:08:27Z</cp:lastPrinted>
  <dcterms:created xsi:type="dcterms:W3CDTF">2017-01-11T14:22:24Z</dcterms:created>
  <dcterms:modified xsi:type="dcterms:W3CDTF">2017-11-15T14:42:44Z</dcterms:modified>
</cp:coreProperties>
</file>