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4-2020 LEADER\Nabór 1 i 2 w 2022\przykładowo wypełniony wniosek\"/>
    </mc:Choice>
  </mc:AlternateContent>
  <bookViews>
    <workbookView xWindow="0" yWindow="0" windowWidth="20490" windowHeight="715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2" l="1"/>
  <c r="E8" i="2"/>
  <c r="D8" i="2"/>
  <c r="C8" i="2"/>
  <c r="I10" i="1"/>
  <c r="I9" i="1"/>
  <c r="I8" i="1"/>
  <c r="I7" i="1"/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D20" i="2" l="1"/>
  <c r="E20" i="2"/>
  <c r="E29" i="2" s="1"/>
  <c r="E13" i="3" l="1"/>
  <c r="D13" i="3"/>
  <c r="C13" i="3"/>
  <c r="E7" i="3"/>
  <c r="D7" i="3"/>
  <c r="C29" i="2"/>
  <c r="C7" i="3" s="1"/>
  <c r="B20" i="2"/>
  <c r="C6" i="3"/>
  <c r="C15" i="3"/>
  <c r="D8" i="3" l="1"/>
  <c r="C8" i="3"/>
  <c r="E10" i="2"/>
  <c r="E30" i="2" s="1"/>
  <c r="C30" i="2"/>
  <c r="F22" i="3"/>
  <c r="D10" i="2"/>
  <c r="D30" i="2" s="1"/>
  <c r="D31" i="2" s="1"/>
  <c r="C31" i="2" l="1"/>
  <c r="C9" i="3" s="1"/>
  <c r="C11" i="3" s="1"/>
  <c r="E31" i="2"/>
  <c r="E9" i="3" s="1"/>
  <c r="D22" i="3"/>
  <c r="D9" i="3"/>
  <c r="D11" i="3" s="1"/>
  <c r="C22" i="3"/>
  <c r="E8" i="3"/>
  <c r="E22" i="3"/>
  <c r="C32" i="2" l="1"/>
  <c r="E32" i="2"/>
  <c r="E11" i="3"/>
  <c r="E14" i="3" s="1"/>
  <c r="C14" i="3"/>
  <c r="D32" i="2"/>
  <c r="D14" i="3" s="1"/>
  <c r="C16" i="3" l="1"/>
</calcChain>
</file>

<file path=xl/sharedStrings.xml><?xml version="1.0" encoding="utf-8"?>
<sst xmlns="http://schemas.openxmlformats.org/spreadsheetml/2006/main" count="148" uniqueCount="116">
  <si>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</si>
  <si>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</si>
  <si>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</si>
  <si>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</si>
  <si>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</si>
  <si>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</si>
  <si>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</si>
  <si>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</si>
  <si>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</si>
  <si>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</si>
  <si>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</si>
  <si>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</si>
  <si>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</si>
  <si>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</si>
  <si>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</si>
  <si>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</si>
  <si>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</si>
  <si>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</si>
  <si>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</si>
  <si>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</si>
  <si>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</si>
  <si>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</si>
  <si>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</si>
  <si>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</si>
  <si>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</si>
  <si>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</si>
  <si>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</si>
  <si>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</si>
  <si>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</si>
  <si>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</si>
  <si>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</si>
  <si>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</si>
  <si>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</si>
  <si>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</si>
  <si>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</si>
  <si>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</si>
  <si>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</si>
  <si>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</si>
  <si>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</si>
  <si>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</si>
  <si>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</si>
  <si>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</si>
  <si>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</si>
  <si>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</si>
  <si>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</si>
  <si>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</si>
  <si>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</si>
  <si>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</si>
  <si>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</si>
  <si>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</si>
  <si>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</si>
  <si>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</si>
  <si>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</si>
  <si>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</si>
  <si>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</si>
  <si>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</si>
  <si>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</si>
  <si>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</si>
  <si>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</si>
  <si>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</si>
  <si>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</si>
  <si>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</si>
  <si>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</si>
  <si>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</si>
  <si>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</si>
  <si>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</si>
  <si>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</si>
  <si>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</si>
  <si>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</si>
  <si>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</si>
  <si>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</si>
  <si>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</si>
  <si>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</si>
  <si>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</si>
  <si>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</si>
  <si>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</si>
  <si>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</si>
  <si>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</si>
  <si>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</si>
  <si>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</si>
  <si>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</si>
  <si>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</si>
  <si>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</si>
  <si>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</si>
  <si>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</si>
  <si>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</si>
  <si>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</si>
  <si>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</si>
  <si>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</si>
  <si>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</si>
  <si>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</si>
  <si>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</si>
  <si>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Trak taśmowy przewoźny</t>
  </si>
  <si>
    <t>Trak służy do przecierania drewna okrągłego na tarcicę obrzynaną oraz nieobrzynaną. Maszyna będzie służyła do produkcji tarcicy oraz do usługowego cięcia drewna na tarcicę u klienta – trak przewoźny, nadający się do ciągnięcia za pojazdem mechanicznym</t>
  </si>
  <si>
    <t>Parametry technicze:
Moc silnika: …
itp.. …</t>
  </si>
  <si>
    <t>Łuparka</t>
  </si>
  <si>
    <t xml:space="preserve">Łuparka służy do łupania drewna na szczapy, które stanowią materiał opałowy gotowy do użycia. ). Łuparka będzie służyła do produkcji materiału opałowego </t>
  </si>
  <si>
    <t>Parametry techniczne: …</t>
  </si>
  <si>
    <t>Piła taśmowa</t>
  </si>
  <si>
    <t xml:space="preserve">Piła taśmowa służy do cięcia tarcicy przy pomocy traka. Piły taśmowe pracujące w traku zużywają się, wymagają cyklicznej zmiany, ostrzenia i prostowania zębów. W trakcie pracy traku piłę należy wymieniać co godzinę. Zakup 10 szt. pozwoli na płynną wymianę pił oraz ostrzenie i prostowanie zębów bez konieczności przerywania pracy traku. </t>
  </si>
  <si>
    <t>Materiał: stal
wymiary: ….</t>
  </si>
  <si>
    <t>Grubościówka używana - koszt niekwalifikowany</t>
  </si>
  <si>
    <t xml:space="preserve">Maszyna służy do precyzyjnego wyregulowania grubości oraz wygładzania tarcicy wyciętej trakiem. W rezultacie otrzymujemy gotowy materiał budowlany. Wybrano maszynę używaną o wysokiej jakości i wydajności i jednocześnie przystępnej cenie. Nowa grubościówka tej klasy miała by trzykrotnie wyższą cenę. Maszyna 3-4 letnia jest dużo tańsza i jednocześnie wciąż trwała - będzie pracowała jeszcze co najmniej 5 lat. </t>
  </si>
  <si>
    <t>Będę płatnikiem podatku VAT, dlatego podatek ten jest kosztem niekwalifikowalnym.</t>
  </si>
  <si>
    <t>Podatek VAT</t>
  </si>
  <si>
    <t>-</t>
  </si>
  <si>
    <t>drewno opałowe</t>
  </si>
  <si>
    <t>tarcica</t>
  </si>
  <si>
    <t>usługa łupania drewna na drewno opałowe</t>
  </si>
  <si>
    <t>usługa cięcia drewna trakiem</t>
  </si>
  <si>
    <t>m3</t>
  </si>
  <si>
    <t xml:space="preserve">Zgodnie ze strategią konkurowania firmy – strategia jakościowa – przyjęto ceny na poziomie cen konkurencji. Wszsytkie ceny są cenami netto. Cenę sprzedaży drewna opałowego przyjęto jako średnia ceny sprzedaży dla trzech różnych rodzajów drewna: drewno iglaste – 200,00 zł, olcha – 210,00 zł, brzoza – 240,00 zł. Cena sprzedaży tarcicy to cena sprzedaży tarcicy z drewna iglastego (przyjęto na poziomie najniższej ceny konkurencji). Wielkość sprzedaży oszacowano w stosunku do kupowanego drewna (towaru) w roku n, n+1 i n+2, zakładając 5% stratę z surowca na materiał opałowy (przy produkcji opału z surowca powstaje odpad w postaci wiórów i drobnych szczypek) oraz 10% stratę z surowca na tarcicę  (przy produkcji tarcicy z surowca powstaje odpad w postaci wiórów, ścinek i kory). Założono założenie stałej wielkości sprzedaży dla lat N+1 i N+2. Przyjęto stałą cenę sprzedaży towarów i usług, ponieważ w okresie dwóch lat trwałości projektu nie przewiduje się wzrostu cen sprzedaży. W skali roku również nie występują zmiany cen sprzedaży produktu/usługi. </t>
  </si>
  <si>
    <t>Przychody w czasie z tytułu premii</t>
  </si>
  <si>
    <t>8.3 reklama</t>
  </si>
  <si>
    <t>Planując podjęcie działalności gospodarczej w zakresie mobilnych usług cięcia drewna oraz produkcji i sprzedaży tarcicy oraz drewna opałowego, zaplanowano zakup podstawowych niezbędnych maszyn i urządzeń niezbędnych do podjęcia działalności w zakresie usług cięcia drewna oraz produkcji i sprzedaży tarcicy oraz drewna opałowego. Dokonując wyboru poszczególnych maszyn kierowano się najlepszym stosunkiem ceny do niezbędnych funkcjonalności a także wydajności – w kontekście zaplanowanej wielkości sprzedaży opału i usług cięcia drewna. Najważniejsze urządzenie – trak przewoźny – wybrano z pełną hydrauliką, by zwiększyć bezpieczeństwo pracy operatora traku (zminimalizowane wykorzystanie siły fizycznej człowieka) oraz efektywność pracy traku (szybszy załadunek i ustawienie drewna do cięcia). Dla potrzeb szacowania kosztów pozyskano oferty cenowe– tam, gdzie było to możliwe uzyskano co najmniej 2 oferty. Dla potrzeb oszacowania budżetu przyjęto najniższe ceny maszyn spośród zebranych ofert . Wszsytkie ceny są cenami netto. Wydruki ofert załączono do wniosku.</t>
  </si>
  <si>
    <r>
      <rPr>
        <b/>
        <sz val="10"/>
        <color theme="1"/>
        <rFont val="Times New Roman"/>
        <family val="1"/>
        <charset val="238"/>
      </rPr>
      <t>Dla potrzeb szacowania przychodów i kosztów przyjęto następujące założenia wyjściowe:
VII 2022 - podpisanie umowy o przyznaniu pomocy, dokonanie wpisu działalności gospodarczej do CEIDG (z datą rozpoczęcia jej wykonywania określoną na XII 2022), złożenie WOP I transzy
XII 2022 - rozpoczęcie wykonywania działalności gospodarczej (złożenie ZUS ZUA i ZUS DRA), złożenie WOP II transzy,
IV 2023 - płatność końcowa 
Cały rok 2023 jest rokiem N, cały rok 2024 to rok N+1, cały rok 2025 to rok N+2</t>
    </r>
    <r>
      <rPr>
        <sz val="10"/>
        <color theme="1"/>
        <rFont val="Times New Roman"/>
        <family val="1"/>
        <charset val="238"/>
      </rPr>
      <t xml:space="preserve">
Jednak wszystkie przychody i koszty kalkulowano indywidualnie za okres ich faktycznego występowania, co zostało szczegółowo rozpisane przy każdej pozycji.
Wszystkie przyjęte w tabeli ceny są cenami netto, ponieważ wnioskodawca będzie płatnikiem VAT.
</t>
    </r>
    <r>
      <rPr>
        <b/>
        <sz val="10"/>
        <color theme="1"/>
        <rFont val="Times New Roman"/>
        <family val="1"/>
        <charset val="238"/>
      </rPr>
      <t>A. Przychody:</t>
    </r>
    <r>
      <rPr>
        <sz val="10"/>
        <color theme="1"/>
        <rFont val="Times New Roman"/>
        <family val="1"/>
        <charset val="238"/>
      </rPr>
      <t xml:space="preserve">
1.W roku N przychody będą generowane od miesiąca, w którym zakupione maszyny zostaną wprowadzone do ewidencji środków trwałych, tj. od XII 2022.  W związku z powyższym, przychody dla okresu N + N-1 policzono dla 13 m-cy, proporcjonalnie do przychodów za kolejny pełny rok (N+1). W latach N+1 i N+2 wpisano przychody zgodnie z tabelą 9.1.
2. Inne przychody: to przychody w czasie z tytułu premii obliczone zgodnie z instrukcją jako wartość odpisów amortyzacyjnych za dany rok (z poz. B. 8.1) x poziom dofinansowania operacji (obliczony jako: kwota premii/wydatki stanowiące podstawę do wyliczenia kwoty pomocy z tab. 7.1 = 100%)
</t>
    </r>
    <r>
      <rPr>
        <b/>
        <sz val="10"/>
        <color theme="1"/>
        <rFont val="Times New Roman"/>
        <family val="1"/>
        <charset val="238"/>
      </rPr>
      <t>B. Koszty:</t>
    </r>
    <r>
      <rPr>
        <sz val="10"/>
        <color theme="1"/>
        <rFont val="Times New Roman"/>
        <family val="1"/>
        <charset val="238"/>
      </rPr>
      <t xml:space="preserve">
</t>
    </r>
    <r>
      <rPr>
        <u/>
        <sz val="10"/>
        <color theme="1"/>
        <rFont val="Times New Roman"/>
        <family val="1"/>
        <charset val="238"/>
      </rPr>
      <t>1. Zużycie materiałów i energii:</t>
    </r>
    <r>
      <rPr>
        <sz val="10"/>
        <color theme="1"/>
        <rFont val="Times New Roman"/>
        <family val="1"/>
        <charset val="238"/>
      </rPr>
      <t xml:space="preserve"> Są to koszty opłat za energię elektryczną, paliwo, smary i oleje do traku i łuparki. 
Obliczenie kosztu dla pełnego roku:
a) szacunkowe zużycie energii elektrycznej / rok = 7 000 KWh, przy cenie 0,55 zł/KWh = 3 850,00zł/rok
b) szacunkowe zużycie paliwa – diesel – na poziomie 500 l/rok, co przy cenie 6,05 zł/l = 3 025,00zł/rok
c) szacunkowe zużycie smarów i olejów szacuje się na poziomie 800,00 zł/rok
Razem zużycie materiałów i energii dla roku N+1 i N+2: 3 850,00 + 3 025,00 + 800,00 = 7 675,00 zł/rok
Razem zużycie materiałów i energii dla roku N: (7 675,00 zł/12 m-cy ) x 13 m-cy = 8 314,58,00 zł
</t>
    </r>
    <r>
      <rPr>
        <u/>
        <sz val="10"/>
        <color theme="1"/>
        <rFont val="Times New Roman"/>
        <family val="1"/>
        <charset val="238"/>
      </rPr>
      <t>2.Usługi obce:</t>
    </r>
    <r>
      <rPr>
        <sz val="10"/>
        <color theme="1"/>
        <rFont val="Times New Roman"/>
        <family val="1"/>
        <charset val="238"/>
      </rPr>
      <t xml:space="preserve"> są to koszty usług księgowych oraz serwisu maszyn po upływie 24 miesięcznego okresu gwarancji. 
Obliczenie kosztu dla pełnego roku:
a) koszt usług księgowych: oszacowany na poziomie stawek usług księgowych na lokalnym rynku: 250,00 zł/m-c, tj. 3000,00 zł/ rok. Dla roku N koszt policzono od miesiąca rozpoczęcia wykonywania dz. gosp. w grudniu 2022r., tj. za 13 m-cy.
b) koszt serwisu maszyn: koszt pojawi się po upływie okresu gwarancji, tj. w roku N+1, N+2 w szacunkowej wysokości 1000,00 zł/rok
Razem usługi obce dla roku N: 13 x 250,00 zł = 3 250,00 zł
Razem usługi obce dla roku N+1: 3000,00 + 1000,00 = 4 000,00zł
Razem usługi obce dla roku N+2: 3000,00 + 1000,00 = 4 000,00 zł
</t>
    </r>
    <r>
      <rPr>
        <u/>
        <sz val="10"/>
        <color theme="1"/>
        <rFont val="Times New Roman"/>
        <family val="1"/>
        <charset val="238"/>
      </rPr>
      <t>3. Podatki i opłaty:</t>
    </r>
    <r>
      <rPr>
        <sz val="10"/>
        <color theme="1"/>
        <rFont val="Times New Roman"/>
        <family val="1"/>
        <charset val="238"/>
      </rPr>
      <t xml:space="preserve"> uwzględniono koszt podatku od nieruchomości. Zgodnie z uchwałą nr XIV z dnia 30.11.2019r. Rady Gminy X, podatek od nieruchomości dla budynków wykorzystywanych w ramach działalności gospodarczej wynosi 22,50 zł/m2 powierzchni użytkowej. Dla magazynu o pow. 40m2 koszt podatku wynosi 900,00 zł/rok.  Dla roku N przyjęto koszt proporcjonalnie od dnia rozpoczęcia wykonywania dz. gosp. w XII 2022r., tj. za 13 m-cy, dla pozostałych lat - za 12 m-cy. 
Koszt dla roku N+1 i N+2: 900,00 zł
Koszt dla roku N: (900/12) x 13 = 975,00 zł
</t>
    </r>
    <r>
      <rPr>
        <u/>
        <sz val="10"/>
        <color theme="1"/>
        <rFont val="Times New Roman"/>
        <family val="1"/>
        <charset val="238"/>
      </rPr>
      <t>4. Wynagrodzenia i pochodne:</t>
    </r>
    <r>
      <rPr>
        <sz val="10"/>
        <color theme="1"/>
        <rFont val="Times New Roman"/>
        <family val="1"/>
        <charset val="238"/>
      </rPr>
      <t xml:space="preserve"> przyjęto koszt składek społecznych z tytułu wykonywania działalności gospodarczej ponoszony przez przedsiębiorcę. 
Rozpoczęcie wykonywania działalności gospodarczej i zgłoszenie do ubezpieczeń społecznych i zdrowotnego zaplanowano na XII 2022 r.
W związku z faktem, że średniomiesięczny dochód jest niższy od najniższego wynagrodzenia za pracę (wynoszącego w 2022 r. 3010 zł) - nie uwzględniono składki na Fundusz Pracy, a składkę zdrowotną przyjęto na poziomie 270,90 zł. Nie przewiduje się również dobrowolnego ubezpieczenia chorobowego. 
Wymiar składek społecznych (emerytalna+rentowa+wypadkowa) i zdrowotnej w pierwszych 24 m-cach wykonywania działalności gospodarczej: od XII 2022 do XI 2024:
 263,59 zł (skł. społeczne) + 270,90 zł (skł. zdrowotna) = 534,49 zł
Po tym okresie przyjęto składki społeczne w pełnej wysokości, bez składki na Fundusz Pracy i dobrowolnego ubezpieczenia chorobowego, tj. 1124,23 zł + składka zdrowotna w wys. 270,90 zł = razem: 1 395,13 zł
Rok N +N-1 (13 m-cy): 13 x 534,49 zł =  6 948,37 zł 
Rok N+1 (12 mc-y): (11 x 534,49 zł) + (1 x 1 395,13 zł) = 5 879,39 + 1 395,14 = 7 274,52 zł
Rok N+2 (12 m-cy): 12 x 1 395,13 zł = 16 741,56 zł 
</t>
    </r>
    <r>
      <rPr>
        <u/>
        <sz val="10"/>
        <color theme="1"/>
        <rFont val="Times New Roman"/>
        <family val="1"/>
        <charset val="238"/>
      </rPr>
      <t>5. Koszty finansowe:</t>
    </r>
    <r>
      <rPr>
        <sz val="10"/>
        <color theme="1"/>
        <rFont val="Times New Roman"/>
        <family val="1"/>
        <charset val="238"/>
      </rPr>
      <t xml:space="preserve"> nie występują, ponieważ nie planuję zaciągać kredytów ani pożyczek.
</t>
    </r>
    <r>
      <rPr>
        <u/>
        <sz val="10"/>
        <color theme="1"/>
        <rFont val="Times New Roman"/>
        <family val="1"/>
        <charset val="238"/>
      </rPr>
      <t xml:space="preserve">6. Zakup towarów: </t>
    </r>
    <r>
      <rPr>
        <sz val="10"/>
        <color theme="1"/>
        <rFont val="Times New Roman"/>
        <family val="1"/>
        <charset val="238"/>
      </rPr>
      <t xml:space="preserve">Jest to koszt zakupu drewna, które będzie wykorzystywane do produkcji tarcicy oraz drewna opałowego. Dla pełnego roku funkcjonowania firmy (N+1, N+2) przyjęto zapotrzebowanie na 120 m3 drewna opałowego i 90 m3 drewna tartacznego. Dla roku N przyjęto zapotrzebowanie za okres 13 m-cy (od miesiąca rozpoczęcia wykonywania dz. gosp. w XII 2022 - do końca XII 2023), proporcjonalnie w stosunku do zapotrzebowania w kolejnym pełnym roku funkcjonowania firmy (N+1). Ceny zakupu drewna szacowano na podstawie cennika sprzedaży drewna w Nadleśnictwie Włodawa. 
a) koszt zakupu drewna do produkcji drewna opałowego na pełny rok: 100 zł x 120m3 = 12 000,00 zł
b) koszt zakupu drewna do produkcji tarcicy na pełny rok: 370 zł x 90 m3 = 33 300,00 zł
Zakup towarów dla roku N+1, N+2: 12 000 + 33 300 = 45 300 zł
Koszt zakupu towarów dla roku N: (45 300 / 12m-cy) x 13 m-cy = 49 075 zł
</t>
    </r>
    <r>
      <rPr>
        <u/>
        <sz val="10"/>
        <color theme="1"/>
        <rFont val="Times New Roman"/>
        <family val="1"/>
        <charset val="238"/>
      </rPr>
      <t xml:space="preserve">
7. Ubezpieczenia majątkowe: </t>
    </r>
    <r>
      <rPr>
        <sz val="10"/>
        <color theme="1"/>
        <rFont val="Times New Roman"/>
        <family val="1"/>
        <charset val="238"/>
      </rPr>
      <t xml:space="preserve">Przyjęto koszt ubezpieczenia maszyn na wypadek kradzieży i pożaru w szacunkowej wysokości 3 000,00 zł/rok, natomiast dla roku N proporcjonalnie za 13 m-cy od miesiąca zakupu środków trwałych (XII 2022-XII 2023). 
</t>
    </r>
    <r>
      <rPr>
        <u/>
        <sz val="10"/>
        <color theme="1"/>
        <rFont val="Times New Roman"/>
        <family val="1"/>
        <charset val="238"/>
      </rPr>
      <t xml:space="preserve">8. Pozostałe koszty: </t>
    </r>
    <r>
      <rPr>
        <sz val="10"/>
        <color theme="1"/>
        <rFont val="Times New Roman"/>
        <family val="1"/>
        <charset val="238"/>
      </rPr>
      <t xml:space="preserve">
</t>
    </r>
    <r>
      <rPr>
        <u/>
        <sz val="10"/>
        <color theme="1"/>
        <rFont val="Times New Roman"/>
        <family val="1"/>
        <charset val="238"/>
      </rPr>
      <t>8.1 Amortyzacja:</t>
    </r>
    <r>
      <rPr>
        <sz val="10"/>
        <color theme="1"/>
        <rFont val="Times New Roman"/>
        <family val="1"/>
        <charset val="238"/>
      </rPr>
      <t xml:space="preserve"> Przy szacowaniu kosztów amortyzacji przyjęto założenie, że maszyny zostaną zakupione i wprowadzone do ewidencji środków trwałych w grudniu 2022r. i od tego miesiąca rozpoczęto dokonywanie odpisów amortyzacyjnych. Stąd w roku N przyjęto koszt proporcjonalny – za 13 m-cy. W latach N+1 i N+2 przyjęto koszty za 12 m-cy. 
a) Trak taśmowy przewoźny (symbol KŚT 540) – stawka amortyzacji 14 % - odpis amortyzacyjny za pełny rok (N+1, N+2): 2 800,00 zł, odpis amortyzacyjny za rok N: 3 033,33 zł.
b) Łuparka (symbol KŚT 540) – stawka amortyzacji 14% - odpis amortyzacyjny za pełny rok (N+1, N+2): 7 000,00 zł, odpis amortyzacyjny za rok N: 7 583,33,00 zł.
c) Piła taśmowa jako środek trwały o wartości mniejszej niż 10 000,00 zł uwzględniona jako amortyzacja jednorazowa w całości w roku N.
d) Grubościówka używana (symbol KŚT 540) - stawka amortyzacji 14% - odpis amortyzacyjny za pełny rok (N+1, N+2): 1 400,00 zł, odpis amortyzacyjny za rok N: 1 516,67 zł    
Razem amortyzacja:
Rok N: 3 033,33 + 7 583,33,00 + 10 000,00 + 1 516,67 = 22 133,33 zł
Rok N+1 i N+2: 2 800,00 + 7 000,00 + 1 400,00 = 11 200,00 zł
</t>
    </r>
    <r>
      <rPr>
        <u/>
        <sz val="10"/>
        <color theme="1"/>
        <rFont val="Times New Roman"/>
        <family val="1"/>
        <charset val="238"/>
      </rPr>
      <t xml:space="preserve">8.3 Reklama i promocja: </t>
    </r>
    <r>
      <rPr>
        <sz val="10"/>
        <color theme="1"/>
        <rFont val="Times New Roman"/>
        <family val="1"/>
        <charset val="238"/>
      </rPr>
      <t xml:space="preserve">Jest to koszt reklamy i promocji firmy opisane w biznesplanie (tab. IV.4.2.4). Przyjęto szacunkowy koszt roczny zamówienia wizytówek:  400,00 zł oraz jednorazowo w roku N koszt zamówienia banneru reklamowego zewnętrznego: 1000,00 zł.
Koszt reklamy i promocji dla roku N: 400 + 1000 = 1400 zł
Koszt reklamy i promocji dla roku N+1, N+2: 400 zł
</t>
    </r>
    <r>
      <rPr>
        <b/>
        <sz val="10"/>
        <color theme="1"/>
        <rFont val="Times New Roman"/>
        <family val="1"/>
        <charset val="238"/>
      </rPr>
      <t>D. Podatek dochodowy:</t>
    </r>
    <r>
      <rPr>
        <sz val="10"/>
        <color theme="1"/>
        <rFont val="Times New Roman"/>
        <family val="1"/>
        <charset val="238"/>
      </rPr>
      <t xml:space="preserve"> rozliczany będzie na zasadach ogólnych - stawka 17% dochodu.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</si>
</sst>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u/>
      <sz val="10"/>
      <color theme="1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4" fontId="2" fillId="0" borderId="1" xfId="0" applyNumberFormat="1" applyFont="1" applyBorder="1" applyAlignment="1" applyProtection="1">
      <alignment horizontal="right" vertical="center" wrapText="1"/>
      <protection locked="0"/>
    </xf>
    <xf numFmtId="4" fontId="2" fillId="3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view="pageBreakPreview" topLeftCell="A13" zoomScale="130" zoomScaleNormal="100" zoomScaleSheetLayoutView="130" workbookViewId="0">
      <selection activeCell="I17" sqref="I17"/>
    </sheetView>
  </sheetViews>
  <sheetFormatPr defaultRowHeight="15" x14ac:dyDescent="0.25"/>
  <cols>
    <col min="1" max="1" width="1.5703125" style="62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0" customWidth="1"/>
    <col min="11" max="11" width="6.5703125" customWidth="1"/>
    <col min="12" max="12" width="1" customWidth="1"/>
    <col min="13" max="13" width="16.85546875" style="24" customWidth="1"/>
    <col min="14" max="14" width="27" style="24" customWidth="1"/>
    <col min="15" max="15" width="7.140625" style="24" customWidth="1"/>
    <col min="16" max="16" width="7.42578125" style="24" customWidth="1"/>
  </cols>
  <sheetData>
    <row r="1" spans="1:16" x14ac:dyDescent="0.25">
      <c r="C1" s="78" t="s">
        <v>42</v>
      </c>
      <c r="D1" s="78"/>
      <c r="E1" s="78"/>
      <c r="F1" s="78"/>
      <c r="G1" s="24"/>
      <c r="H1" s="24"/>
      <c r="I1" s="24"/>
      <c r="J1" s="71" t="s">
        <v>82</v>
      </c>
    </row>
    <row r="2" spans="1:16" ht="35.25" customHeight="1" x14ac:dyDescent="0.25">
      <c r="C2" s="54" t="s">
        <v>43</v>
      </c>
      <c r="D2" s="54"/>
      <c r="E2" s="54"/>
      <c r="F2" s="54"/>
      <c r="G2" s="59"/>
      <c r="H2" s="59"/>
      <c r="I2" s="24"/>
      <c r="J2" s="72"/>
    </row>
    <row r="3" spans="1:16" ht="51.75" customHeight="1" x14ac:dyDescent="0.25">
      <c r="C3" s="79" t="s">
        <v>44</v>
      </c>
      <c r="D3" s="79"/>
      <c r="E3" s="12" t="s">
        <v>45</v>
      </c>
      <c r="F3" s="52" t="s">
        <v>46</v>
      </c>
      <c r="G3" s="12" t="s">
        <v>47</v>
      </c>
      <c r="H3" s="12" t="s">
        <v>48</v>
      </c>
      <c r="I3" s="52" t="s">
        <v>49</v>
      </c>
      <c r="J3" s="51" t="s">
        <v>83</v>
      </c>
    </row>
    <row r="4" spans="1:16" s="10" customFormat="1" x14ac:dyDescent="0.25">
      <c r="A4" s="62"/>
      <c r="B4"/>
      <c r="C4" s="80" t="s">
        <v>57</v>
      </c>
      <c r="D4" s="81"/>
      <c r="E4" s="81"/>
      <c r="F4" s="81"/>
      <c r="G4" s="81"/>
      <c r="H4" s="81"/>
      <c r="I4" s="82"/>
      <c r="J4" s="42"/>
      <c r="M4" s="28"/>
      <c r="N4" s="28"/>
      <c r="O4" s="28"/>
      <c r="P4" s="28"/>
    </row>
    <row r="5" spans="1:16" s="10" customFormat="1" ht="255" x14ac:dyDescent="0.25">
      <c r="A5" s="63"/>
      <c r="C5" s="8" t="s">
        <v>50</v>
      </c>
      <c r="D5" s="8" t="s">
        <v>92</v>
      </c>
      <c r="E5" s="13" t="s">
        <v>93</v>
      </c>
      <c r="F5" s="13" t="s">
        <v>94</v>
      </c>
      <c r="G5" s="13">
        <v>1</v>
      </c>
      <c r="H5" s="44">
        <v>20000</v>
      </c>
      <c r="I5" s="13">
        <f t="shared" ref="I5:I15" si="0">G5*H5</f>
        <v>20000</v>
      </c>
      <c r="J5" s="42" t="s">
        <v>64</v>
      </c>
      <c r="M5" s="28"/>
      <c r="N5" s="28"/>
      <c r="O5" s="28"/>
      <c r="P5" s="28"/>
    </row>
    <row r="6" spans="1:16" s="10" customFormat="1" ht="165.75" x14ac:dyDescent="0.25">
      <c r="A6" s="63"/>
      <c r="C6" s="8" t="s">
        <v>52</v>
      </c>
      <c r="D6" s="8" t="s">
        <v>95</v>
      </c>
      <c r="E6" s="13" t="s">
        <v>96</v>
      </c>
      <c r="F6" s="13" t="s">
        <v>97</v>
      </c>
      <c r="G6" s="13">
        <v>1</v>
      </c>
      <c r="H6" s="44">
        <v>50000</v>
      </c>
      <c r="I6" s="13">
        <f t="shared" si="0"/>
        <v>50000</v>
      </c>
      <c r="J6" s="42" t="s">
        <v>64</v>
      </c>
      <c r="M6" s="28"/>
      <c r="N6" s="28"/>
      <c r="O6" s="28"/>
      <c r="P6" s="28"/>
    </row>
    <row r="7" spans="1:16" s="10" customFormat="1" ht="331.5" x14ac:dyDescent="0.25">
      <c r="A7" s="63"/>
      <c r="C7" s="8" t="s">
        <v>53</v>
      </c>
      <c r="D7" s="8" t="s">
        <v>98</v>
      </c>
      <c r="E7" s="13" t="s">
        <v>99</v>
      </c>
      <c r="F7" s="13" t="s">
        <v>100</v>
      </c>
      <c r="G7" s="13">
        <v>10</v>
      </c>
      <c r="H7" s="44">
        <v>50</v>
      </c>
      <c r="I7" s="13">
        <f t="shared" si="0"/>
        <v>500</v>
      </c>
      <c r="J7" s="42" t="s">
        <v>64</v>
      </c>
      <c r="M7" s="28"/>
      <c r="N7" s="28"/>
      <c r="O7" s="28"/>
      <c r="P7" s="28"/>
    </row>
    <row r="8" spans="1:16" s="10" customFormat="1" x14ac:dyDescent="0.25">
      <c r="A8" s="63"/>
      <c r="C8" s="8" t="s">
        <v>54</v>
      </c>
      <c r="D8" s="8"/>
      <c r="E8" s="13"/>
      <c r="F8" s="13"/>
      <c r="G8" s="13"/>
      <c r="H8" s="44"/>
      <c r="I8" s="13">
        <f>G8*H8</f>
        <v>0</v>
      </c>
      <c r="J8" s="42" t="s">
        <v>51</v>
      </c>
      <c r="M8" s="28"/>
      <c r="N8" s="28"/>
      <c r="O8" s="28"/>
      <c r="P8" s="28"/>
    </row>
    <row r="9" spans="1:16" s="10" customFormat="1" x14ac:dyDescent="0.25">
      <c r="A9" s="63"/>
      <c r="C9" s="8" t="s">
        <v>55</v>
      </c>
      <c r="D9" s="8"/>
      <c r="E9" s="13"/>
      <c r="F9" s="13"/>
      <c r="G9" s="13"/>
      <c r="H9" s="44"/>
      <c r="I9" s="13">
        <f>G9*H9</f>
        <v>0</v>
      </c>
      <c r="J9" s="42" t="s">
        <v>51</v>
      </c>
      <c r="M9" s="28"/>
      <c r="N9" s="28"/>
      <c r="O9" s="28"/>
      <c r="P9" s="28"/>
    </row>
    <row r="10" spans="1:16" s="10" customFormat="1" ht="15" customHeight="1" x14ac:dyDescent="0.25">
      <c r="A10" s="63"/>
      <c r="C10" s="80" t="s">
        <v>58</v>
      </c>
      <c r="D10" s="81"/>
      <c r="E10" s="81"/>
      <c r="F10" s="81"/>
      <c r="G10" s="81"/>
      <c r="H10" s="81"/>
      <c r="I10" s="55"/>
      <c r="J10" s="42"/>
      <c r="M10" s="28"/>
      <c r="N10" s="28"/>
      <c r="O10" s="28"/>
      <c r="P10" s="28"/>
    </row>
    <row r="11" spans="1:16" s="10" customFormat="1" ht="408" x14ac:dyDescent="0.25">
      <c r="A11" s="63"/>
      <c r="C11" s="8" t="s">
        <v>50</v>
      </c>
      <c r="D11" s="8" t="s">
        <v>101</v>
      </c>
      <c r="E11" s="13" t="s">
        <v>102</v>
      </c>
      <c r="F11" s="13" t="s">
        <v>94</v>
      </c>
      <c r="G11" s="13">
        <v>1</v>
      </c>
      <c r="H11" s="13">
        <v>10000</v>
      </c>
      <c r="I11" s="13">
        <f t="shared" si="0"/>
        <v>10000</v>
      </c>
      <c r="J11" s="42" t="s">
        <v>64</v>
      </c>
      <c r="M11" s="28"/>
      <c r="N11" s="28"/>
      <c r="O11" s="28"/>
      <c r="P11" s="28"/>
    </row>
    <row r="12" spans="1:16" s="10" customFormat="1" ht="76.5" x14ac:dyDescent="0.25">
      <c r="A12" s="63"/>
      <c r="C12" s="8" t="s">
        <v>52</v>
      </c>
      <c r="D12" s="8" t="s">
        <v>104</v>
      </c>
      <c r="E12" s="13" t="s">
        <v>103</v>
      </c>
      <c r="F12" s="13" t="s">
        <v>105</v>
      </c>
      <c r="G12" s="13">
        <v>1</v>
      </c>
      <c r="H12" s="13">
        <v>24050</v>
      </c>
      <c r="I12" s="13">
        <f t="shared" si="0"/>
        <v>24050</v>
      </c>
      <c r="J12" s="42" t="s">
        <v>86</v>
      </c>
      <c r="M12" s="28"/>
      <c r="N12" s="28"/>
      <c r="O12" s="28"/>
      <c r="P12" s="28"/>
    </row>
    <row r="13" spans="1:16" s="10" customFormat="1" x14ac:dyDescent="0.25">
      <c r="A13" s="63"/>
      <c r="C13" s="8" t="s">
        <v>53</v>
      </c>
      <c r="D13" s="8"/>
      <c r="E13" s="13"/>
      <c r="F13" s="13"/>
      <c r="G13" s="13"/>
      <c r="H13" s="13"/>
      <c r="I13" s="13">
        <f t="shared" si="0"/>
        <v>0</v>
      </c>
      <c r="J13" s="42" t="s">
        <v>51</v>
      </c>
      <c r="M13" s="28"/>
      <c r="N13" s="28"/>
      <c r="O13" s="28"/>
      <c r="P13" s="28"/>
    </row>
    <row r="14" spans="1:16" s="10" customFormat="1" x14ac:dyDescent="0.25">
      <c r="A14" s="63"/>
      <c r="C14" s="8" t="s">
        <v>54</v>
      </c>
      <c r="D14" s="8"/>
      <c r="E14" s="13"/>
      <c r="F14" s="13"/>
      <c r="G14" s="13"/>
      <c r="H14" s="13"/>
      <c r="I14" s="13">
        <f t="shared" si="0"/>
        <v>0</v>
      </c>
      <c r="J14" s="42" t="s">
        <v>51</v>
      </c>
      <c r="M14" s="28"/>
      <c r="N14" s="28"/>
      <c r="O14" s="28"/>
      <c r="P14" s="28"/>
    </row>
    <row r="15" spans="1:16" s="10" customFormat="1" x14ac:dyDescent="0.25">
      <c r="A15" s="63"/>
      <c r="C15" s="8" t="s">
        <v>55</v>
      </c>
      <c r="D15" s="8"/>
      <c r="E15" s="13"/>
      <c r="F15" s="13"/>
      <c r="G15" s="13"/>
      <c r="H15" s="13"/>
      <c r="I15" s="13">
        <f t="shared" si="0"/>
        <v>0</v>
      </c>
      <c r="J15" s="42" t="s">
        <v>51</v>
      </c>
      <c r="M15" s="28"/>
      <c r="N15" s="28"/>
      <c r="O15" s="28"/>
      <c r="P15" s="28"/>
    </row>
    <row r="16" spans="1:16" x14ac:dyDescent="0.25">
      <c r="C16" s="73" t="s">
        <v>56</v>
      </c>
      <c r="D16" s="73"/>
      <c r="E16" s="73"/>
      <c r="F16" s="73"/>
      <c r="G16" s="73"/>
      <c r="H16" s="73"/>
      <c r="I16" s="15">
        <f>I17+I18</f>
        <v>104550</v>
      </c>
      <c r="J16" s="43"/>
    </row>
    <row r="17" spans="3:16" x14ac:dyDescent="0.25">
      <c r="C17" s="73" t="s">
        <v>57</v>
      </c>
      <c r="D17" s="73"/>
      <c r="E17" s="73"/>
      <c r="F17" s="73"/>
      <c r="G17" s="73"/>
      <c r="H17" s="73"/>
      <c r="I17" s="15">
        <f>SUM(I5:I9)</f>
        <v>70500</v>
      </c>
      <c r="J17" s="43"/>
    </row>
    <row r="18" spans="3:16" x14ac:dyDescent="0.25">
      <c r="C18" s="73" t="s">
        <v>58</v>
      </c>
      <c r="D18" s="73"/>
      <c r="E18" s="73"/>
      <c r="F18" s="73"/>
      <c r="G18" s="73"/>
      <c r="H18" s="73"/>
      <c r="I18" s="15">
        <f>SUM(I11:I15)</f>
        <v>34050</v>
      </c>
      <c r="J18" s="43"/>
    </row>
    <row r="19" spans="3:16" x14ac:dyDescent="0.25">
      <c r="C19" s="73" t="s">
        <v>60</v>
      </c>
      <c r="D19" s="73"/>
      <c r="E19" s="73"/>
      <c r="F19" s="73"/>
      <c r="G19" s="73"/>
      <c r="H19" s="73"/>
      <c r="I19" s="14">
        <v>80000</v>
      </c>
      <c r="J19" s="43"/>
    </row>
    <row r="20" spans="3:16" ht="15" customHeight="1" x14ac:dyDescent="0.25">
      <c r="C20" s="74"/>
      <c r="D20" s="74"/>
      <c r="E20" s="74"/>
      <c r="F20" s="74"/>
      <c r="G20" s="74"/>
      <c r="H20" s="74"/>
      <c r="I20" s="74"/>
      <c r="J20" s="43"/>
      <c r="M20" s="24" t="s">
        <v>51</v>
      </c>
      <c r="N20" s="24" t="s">
        <v>51</v>
      </c>
    </row>
    <row r="21" spans="3:16" ht="59.25" customHeight="1" x14ac:dyDescent="0.25">
      <c r="C21" s="75" t="s">
        <v>62</v>
      </c>
      <c r="D21" s="76"/>
      <c r="E21" s="76"/>
      <c r="F21" s="76"/>
      <c r="G21" s="76"/>
      <c r="H21" s="76"/>
      <c r="I21" s="76"/>
      <c r="J21" s="43"/>
      <c r="M21" s="24" t="s">
        <v>80</v>
      </c>
      <c r="N21" s="24" t="s">
        <v>64</v>
      </c>
      <c r="P21" s="24">
        <f>SUMIFS(I5:I15,J5:J15,"Ki pieniężne")</f>
        <v>80500</v>
      </c>
    </row>
    <row r="22" spans="3:16" x14ac:dyDescent="0.25">
      <c r="C22" s="77" t="s">
        <v>114</v>
      </c>
      <c r="D22" s="77"/>
      <c r="E22" s="77"/>
      <c r="F22" s="77"/>
      <c r="G22" s="77"/>
      <c r="H22" s="77"/>
      <c r="I22" s="77"/>
      <c r="J22" s="43"/>
      <c r="M22" s="24" t="s">
        <v>85</v>
      </c>
      <c r="N22" s="24" t="s">
        <v>63</v>
      </c>
      <c r="P22" s="24">
        <f>SUMIFS(I5:I15,J5:J15,"Ki wkład rzeczowy")</f>
        <v>0</v>
      </c>
    </row>
    <row r="23" spans="3:16" x14ac:dyDescent="0.25">
      <c r="C23" s="77"/>
      <c r="D23" s="77"/>
      <c r="E23" s="77"/>
      <c r="F23" s="77"/>
      <c r="G23" s="77"/>
      <c r="H23" s="77"/>
      <c r="I23" s="77"/>
      <c r="J23" s="43"/>
      <c r="N23" s="24" t="s">
        <v>86</v>
      </c>
      <c r="P23" s="24">
        <f>SUMIFS(I6:I16,J6:J16,"Kp pieniężne i wkład rzeczowy")</f>
        <v>24050</v>
      </c>
    </row>
    <row r="24" spans="3:16" x14ac:dyDescent="0.25">
      <c r="C24" s="77"/>
      <c r="D24" s="77"/>
      <c r="E24" s="77"/>
      <c r="F24" s="77"/>
      <c r="G24" s="77"/>
      <c r="H24" s="77"/>
      <c r="I24" s="77"/>
      <c r="J24" s="43"/>
    </row>
    <row r="25" spans="3:16" x14ac:dyDescent="0.25">
      <c r="C25" s="77"/>
      <c r="D25" s="77"/>
      <c r="E25" s="77"/>
      <c r="F25" s="77"/>
      <c r="G25" s="77"/>
      <c r="H25" s="77"/>
      <c r="I25" s="77"/>
      <c r="J25" s="43"/>
    </row>
    <row r="26" spans="3:16" x14ac:dyDescent="0.25">
      <c r="C26" s="77"/>
      <c r="D26" s="77"/>
      <c r="E26" s="77"/>
      <c r="F26" s="77"/>
      <c r="G26" s="77"/>
      <c r="H26" s="77"/>
      <c r="I26" s="77"/>
      <c r="J26" s="43"/>
    </row>
    <row r="27" spans="3:16" x14ac:dyDescent="0.25">
      <c r="C27" s="77"/>
      <c r="D27" s="77"/>
      <c r="E27" s="77"/>
      <c r="F27" s="77"/>
      <c r="G27" s="77"/>
      <c r="H27" s="77"/>
      <c r="I27" s="77"/>
      <c r="J27" s="43"/>
    </row>
    <row r="28" spans="3:16" x14ac:dyDescent="0.25">
      <c r="C28" s="77"/>
      <c r="D28" s="77"/>
      <c r="E28" s="77"/>
      <c r="F28" s="77"/>
      <c r="G28" s="77"/>
      <c r="H28" s="77"/>
      <c r="I28" s="77"/>
      <c r="J28" s="43"/>
      <c r="N28" s="25" t="s">
        <v>59</v>
      </c>
      <c r="O28" s="25">
        <f>P21</f>
        <v>80500</v>
      </c>
    </row>
    <row r="29" spans="3:16" x14ac:dyDescent="0.25">
      <c r="C29" s="77"/>
      <c r="D29" s="77"/>
      <c r="E29" s="77"/>
      <c r="F29" s="77"/>
      <c r="G29" s="77"/>
      <c r="H29" s="77"/>
      <c r="I29" s="77"/>
      <c r="J29" s="43"/>
      <c r="N29" s="39" t="s">
        <v>61</v>
      </c>
      <c r="O29" s="25">
        <f>P21</f>
        <v>80500</v>
      </c>
    </row>
    <row r="30" spans="3:16" x14ac:dyDescent="0.25">
      <c r="C30" s="77"/>
      <c r="D30" s="77"/>
      <c r="E30" s="77"/>
      <c r="F30" s="77"/>
      <c r="G30" s="77"/>
      <c r="H30" s="77"/>
      <c r="I30" s="77"/>
      <c r="J30" s="43"/>
    </row>
    <row r="31" spans="3:16" x14ac:dyDescent="0.25">
      <c r="C31" s="77"/>
      <c r="D31" s="77"/>
      <c r="E31" s="77"/>
      <c r="F31" s="77"/>
      <c r="G31" s="77"/>
      <c r="H31" s="77"/>
      <c r="I31" s="77"/>
      <c r="J31" s="43"/>
    </row>
    <row r="32" spans="3:16" x14ac:dyDescent="0.25">
      <c r="C32" s="24"/>
      <c r="D32" s="24"/>
      <c r="E32" s="24"/>
      <c r="F32" s="24"/>
      <c r="G32" s="24"/>
      <c r="H32" s="24"/>
      <c r="I32" s="24"/>
      <c r="J32" s="43"/>
    </row>
    <row r="33" spans="3:10" x14ac:dyDescent="0.25">
      <c r="C33" s="24"/>
      <c r="D33" s="24"/>
      <c r="E33" s="24"/>
      <c r="F33" s="24"/>
      <c r="G33" s="24"/>
      <c r="H33" s="24"/>
      <c r="I33" s="24"/>
      <c r="J33" s="43" t="str">
        <f t="shared" ref="J33:J38" si="1">IF(I33=suma1,IF(I33&gt;0,"wybierz z listy",""),"")</f>
        <v/>
      </c>
    </row>
    <row r="34" spans="3:10" x14ac:dyDescent="0.25">
      <c r="C34" s="24"/>
      <c r="D34" s="24"/>
      <c r="E34" s="24"/>
      <c r="F34" s="24"/>
      <c r="G34" s="24"/>
      <c r="H34" s="24"/>
      <c r="I34" s="24"/>
      <c r="J34" s="43" t="str">
        <f t="shared" si="1"/>
        <v/>
      </c>
    </row>
    <row r="35" spans="3:10" x14ac:dyDescent="0.25">
      <c r="C35" s="24"/>
      <c r="D35" s="24"/>
      <c r="E35" s="24"/>
      <c r="F35" s="24"/>
      <c r="G35" s="24"/>
      <c r="H35" s="24"/>
      <c r="I35" s="24"/>
      <c r="J35" s="43" t="str">
        <f t="shared" si="1"/>
        <v/>
      </c>
    </row>
    <row r="36" spans="3:10" x14ac:dyDescent="0.25">
      <c r="C36" s="24"/>
      <c r="D36" s="24"/>
      <c r="E36" s="24"/>
      <c r="F36" s="24"/>
      <c r="G36" s="24"/>
      <c r="H36" s="24"/>
      <c r="I36" s="24"/>
      <c r="J36" s="43" t="str">
        <f t="shared" si="1"/>
        <v/>
      </c>
    </row>
    <row r="37" spans="3:10" x14ac:dyDescent="0.25">
      <c r="C37" s="24"/>
      <c r="D37" s="24"/>
      <c r="E37" s="24"/>
      <c r="F37" s="24"/>
      <c r="G37" s="24"/>
      <c r="H37" s="24"/>
      <c r="I37" s="24"/>
      <c r="J37" s="43" t="str">
        <f t="shared" si="1"/>
        <v/>
      </c>
    </row>
    <row r="38" spans="3:10" x14ac:dyDescent="0.25">
      <c r="C38" s="24"/>
      <c r="D38" s="24"/>
      <c r="E38" s="24"/>
      <c r="F38" s="24"/>
      <c r="G38" s="24"/>
      <c r="H38" s="24"/>
      <c r="I38" s="24"/>
      <c r="J38" s="43" t="str">
        <f t="shared" si="1"/>
        <v/>
      </c>
    </row>
  </sheetData>
  <sheetProtection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C19" sqref="C19:K28"/>
    </sheetView>
  </sheetViews>
  <sheetFormatPr defaultColWidth="9.140625" defaultRowHeight="12.75" x14ac:dyDescent="0.2"/>
  <cols>
    <col min="1" max="1" width="1.28515625" style="60" customWidth="1"/>
    <col min="2" max="2" width="2.85546875" style="24" customWidth="1"/>
    <col min="3" max="3" width="15" style="24" customWidth="1"/>
    <col min="4" max="4" width="12.85546875" style="24" customWidth="1"/>
    <col min="5" max="5" width="10.7109375" style="24" customWidth="1"/>
    <col min="6" max="6" width="10.28515625" style="24" customWidth="1"/>
    <col min="7" max="7" width="7.85546875" style="24" customWidth="1"/>
    <col min="8" max="8" width="13.140625" style="24" customWidth="1"/>
    <col min="9" max="9" width="13.85546875" style="24" customWidth="1"/>
    <col min="10" max="10" width="13.140625" style="24" customWidth="1"/>
    <col min="11" max="11" width="14" style="24" customWidth="1"/>
    <col min="12" max="12" width="1.42578125" style="24" customWidth="1"/>
    <col min="13" max="16384" width="9.140625" style="24"/>
  </cols>
  <sheetData>
    <row r="1" spans="1:12" ht="2.25" customHeight="1" x14ac:dyDescent="0.2"/>
    <row r="2" spans="1:12" ht="17.25" customHeight="1" x14ac:dyDescent="0.2">
      <c r="C2" s="40" t="s">
        <v>40</v>
      </c>
    </row>
    <row r="3" spans="1:12" ht="16.5" customHeight="1" x14ac:dyDescent="0.2">
      <c r="C3" s="83" t="s">
        <v>39</v>
      </c>
      <c r="D3" s="83"/>
      <c r="E3" s="83"/>
      <c r="F3" s="83"/>
      <c r="G3" s="83"/>
      <c r="H3" s="83"/>
      <c r="I3" s="83"/>
      <c r="J3" s="83"/>
      <c r="K3" s="83"/>
    </row>
    <row r="4" spans="1:12" x14ac:dyDescent="0.2">
      <c r="C4" s="93" t="s">
        <v>8</v>
      </c>
      <c r="D4" s="93" t="s">
        <v>0</v>
      </c>
      <c r="E4" s="96" t="s">
        <v>1</v>
      </c>
      <c r="F4" s="96"/>
      <c r="G4" s="96"/>
      <c r="H4" s="96" t="s">
        <v>2</v>
      </c>
      <c r="I4" s="96"/>
      <c r="J4" s="97" t="s">
        <v>3</v>
      </c>
      <c r="K4" s="97"/>
      <c r="L4" s="2"/>
    </row>
    <row r="5" spans="1:12" x14ac:dyDescent="0.2">
      <c r="C5" s="94"/>
      <c r="D5" s="116"/>
      <c r="E5" s="96"/>
      <c r="F5" s="96"/>
      <c r="G5" s="96"/>
      <c r="H5" s="96"/>
      <c r="I5" s="96"/>
      <c r="J5" s="97"/>
      <c r="K5" s="97"/>
      <c r="L5" s="2"/>
    </row>
    <row r="6" spans="1:12" ht="63.75" x14ac:dyDescent="0.2">
      <c r="C6" s="95"/>
      <c r="D6" s="117"/>
      <c r="E6" s="53" t="s">
        <v>4</v>
      </c>
      <c r="F6" s="53" t="s">
        <v>5</v>
      </c>
      <c r="G6" s="53" t="s">
        <v>6</v>
      </c>
      <c r="H6" s="53" t="s">
        <v>7</v>
      </c>
      <c r="I6" s="53" t="s">
        <v>6</v>
      </c>
      <c r="J6" s="58" t="s">
        <v>7</v>
      </c>
      <c r="K6" s="58" t="s">
        <v>6</v>
      </c>
      <c r="L6" s="2"/>
    </row>
    <row r="7" spans="1:12" s="28" customFormat="1" x14ac:dyDescent="0.2">
      <c r="A7" s="61"/>
      <c r="C7" s="8" t="s">
        <v>106</v>
      </c>
      <c r="D7" s="8" t="s">
        <v>110</v>
      </c>
      <c r="E7" s="8">
        <v>210</v>
      </c>
      <c r="F7" s="8">
        <v>210</v>
      </c>
      <c r="G7" s="8">
        <v>110</v>
      </c>
      <c r="H7" s="8">
        <v>210</v>
      </c>
      <c r="I7" s="8">
        <f>G7</f>
        <v>110</v>
      </c>
      <c r="J7" s="65"/>
      <c r="K7" s="65"/>
      <c r="L7" s="9"/>
    </row>
    <row r="8" spans="1:12" s="28" customFormat="1" x14ac:dyDescent="0.2">
      <c r="A8" s="61"/>
      <c r="C8" s="8" t="s">
        <v>107</v>
      </c>
      <c r="D8" s="8" t="s">
        <v>110</v>
      </c>
      <c r="E8" s="8">
        <v>900</v>
      </c>
      <c r="F8" s="8">
        <v>900</v>
      </c>
      <c r="G8" s="8">
        <v>80</v>
      </c>
      <c r="H8" s="8">
        <v>900</v>
      </c>
      <c r="I8" s="8">
        <f>G8</f>
        <v>80</v>
      </c>
      <c r="J8" s="65"/>
      <c r="K8" s="65"/>
      <c r="L8" s="9"/>
    </row>
    <row r="9" spans="1:12" s="28" customFormat="1" ht="38.25" x14ac:dyDescent="0.2">
      <c r="A9" s="61"/>
      <c r="C9" s="8" t="s">
        <v>108</v>
      </c>
      <c r="D9" s="8" t="s">
        <v>110</v>
      </c>
      <c r="E9" s="8">
        <v>40</v>
      </c>
      <c r="F9" s="8">
        <v>40</v>
      </c>
      <c r="G9" s="8">
        <v>60</v>
      </c>
      <c r="H9" s="8">
        <v>40</v>
      </c>
      <c r="I9" s="8">
        <f>G9</f>
        <v>60</v>
      </c>
      <c r="J9" s="66"/>
      <c r="K9" s="66"/>
      <c r="L9" s="11"/>
    </row>
    <row r="10" spans="1:12" s="28" customFormat="1" ht="25.5" x14ac:dyDescent="0.2">
      <c r="A10" s="61"/>
      <c r="C10" s="8" t="s">
        <v>109</v>
      </c>
      <c r="D10" s="8" t="s">
        <v>110</v>
      </c>
      <c r="E10" s="8">
        <v>60</v>
      </c>
      <c r="F10" s="8">
        <v>60</v>
      </c>
      <c r="G10" s="8">
        <v>60</v>
      </c>
      <c r="H10" s="8">
        <v>60</v>
      </c>
      <c r="I10" s="8">
        <f>G10</f>
        <v>60</v>
      </c>
      <c r="J10" s="66"/>
      <c r="K10" s="66"/>
      <c r="L10" s="11"/>
    </row>
    <row r="11" spans="1:12" s="28" customFormat="1" x14ac:dyDescent="0.2">
      <c r="A11" s="61"/>
      <c r="C11" s="8"/>
      <c r="D11" s="8"/>
      <c r="E11" s="8"/>
      <c r="F11" s="8"/>
      <c r="G11" s="8"/>
      <c r="H11" s="8"/>
      <c r="I11" s="8"/>
      <c r="J11" s="66"/>
      <c r="K11" s="66"/>
      <c r="L11" s="11"/>
    </row>
    <row r="12" spans="1:12" s="28" customFormat="1" x14ac:dyDescent="0.2">
      <c r="A12" s="61"/>
      <c r="C12" s="8"/>
      <c r="D12" s="8"/>
      <c r="E12" s="8"/>
      <c r="F12" s="8"/>
      <c r="G12" s="8"/>
      <c r="H12" s="8"/>
      <c r="I12" s="8"/>
      <c r="J12" s="66"/>
      <c r="K12" s="66"/>
      <c r="L12" s="11"/>
    </row>
    <row r="13" spans="1:12" s="28" customFormat="1" x14ac:dyDescent="0.2">
      <c r="A13" s="61"/>
      <c r="C13" s="8"/>
      <c r="D13" s="8"/>
      <c r="E13" s="8"/>
      <c r="F13" s="8"/>
      <c r="G13" s="8"/>
      <c r="H13" s="8"/>
      <c r="I13" s="8"/>
      <c r="J13" s="66"/>
      <c r="K13" s="66"/>
      <c r="L13" s="11"/>
    </row>
    <row r="14" spans="1:12" s="28" customFormat="1" x14ac:dyDescent="0.2">
      <c r="A14" s="61"/>
      <c r="C14" s="98" t="s">
        <v>88</v>
      </c>
      <c r="D14" s="99"/>
      <c r="E14" s="56"/>
      <c r="F14" s="56"/>
      <c r="G14" s="64">
        <f>SUM(G7:G13)</f>
        <v>310</v>
      </c>
      <c r="H14" s="56"/>
      <c r="I14" s="64">
        <f>SUM(I7:I13)</f>
        <v>310</v>
      </c>
      <c r="J14" s="57"/>
      <c r="K14" s="57"/>
      <c r="L14" s="11"/>
    </row>
    <row r="15" spans="1:12" s="28" customFormat="1" ht="23.25" customHeight="1" x14ac:dyDescent="0.2">
      <c r="A15" s="61"/>
      <c r="C15" s="100" t="s">
        <v>89</v>
      </c>
      <c r="D15" s="101"/>
      <c r="E15" s="104" t="str">
        <f ca="1">TEXT('NPV + wsk_rent'!D6,0) &amp;" = A"</f>
        <v>101100 = A</v>
      </c>
      <c r="F15" s="105"/>
      <c r="G15" s="106"/>
      <c r="H15" s="107" t="str">
        <f ca="1">TEXT('NPV + wsk_rent'!E6,0) &amp;" = B"</f>
        <v>101100 = B</v>
      </c>
      <c r="I15" s="108"/>
      <c r="J15" s="114" t="str">
        <f>TEXT('NPV + wsk_rent'!F6,0) &amp;" = C"</f>
        <v>0 = C</v>
      </c>
      <c r="K15" s="115"/>
      <c r="L15" s="11"/>
    </row>
    <row r="16" spans="1:12" s="28" customFormat="1" x14ac:dyDescent="0.2">
      <c r="A16" s="61"/>
      <c r="C16" s="102" t="s">
        <v>90</v>
      </c>
      <c r="D16" s="103"/>
      <c r="E16" s="112">
        <f ca="1">SUM('NPV + wsk_rent'!D6:F6)</f>
        <v>202200</v>
      </c>
      <c r="F16" s="113"/>
      <c r="G16" s="113"/>
      <c r="H16" s="113"/>
      <c r="I16" s="113"/>
      <c r="J16" s="113"/>
      <c r="K16" s="108"/>
      <c r="L16" s="11"/>
    </row>
    <row r="17" spans="1:11" x14ac:dyDescent="0.2">
      <c r="A17" s="61"/>
      <c r="B17" s="28"/>
    </row>
    <row r="18" spans="1:11" ht="51.75" customHeight="1" x14ac:dyDescent="0.2">
      <c r="C18" s="109" t="s">
        <v>41</v>
      </c>
      <c r="D18" s="110"/>
      <c r="E18" s="110"/>
      <c r="F18" s="110"/>
      <c r="G18" s="110"/>
      <c r="H18" s="110"/>
      <c r="I18" s="110"/>
      <c r="J18" s="110"/>
      <c r="K18" s="111"/>
    </row>
    <row r="19" spans="1:11" x14ac:dyDescent="0.2">
      <c r="C19" s="84" t="s">
        <v>111</v>
      </c>
      <c r="D19" s="85"/>
      <c r="E19" s="85"/>
      <c r="F19" s="85"/>
      <c r="G19" s="85"/>
      <c r="H19" s="85"/>
      <c r="I19" s="85"/>
      <c r="J19" s="85"/>
      <c r="K19" s="86"/>
    </row>
    <row r="20" spans="1:11" ht="25.5" customHeight="1" x14ac:dyDescent="0.2">
      <c r="C20" s="87"/>
      <c r="D20" s="88"/>
      <c r="E20" s="88"/>
      <c r="F20" s="88"/>
      <c r="G20" s="88"/>
      <c r="H20" s="88"/>
      <c r="I20" s="88"/>
      <c r="J20" s="88"/>
      <c r="K20" s="89"/>
    </row>
    <row r="21" spans="1:11" x14ac:dyDescent="0.2">
      <c r="C21" s="87"/>
      <c r="D21" s="88"/>
      <c r="E21" s="88"/>
      <c r="F21" s="88"/>
      <c r="G21" s="88"/>
      <c r="H21" s="88"/>
      <c r="I21" s="88"/>
      <c r="J21" s="88"/>
      <c r="K21" s="89"/>
    </row>
    <row r="22" spans="1:11" x14ac:dyDescent="0.2">
      <c r="C22" s="87"/>
      <c r="D22" s="88"/>
      <c r="E22" s="88"/>
      <c r="F22" s="88"/>
      <c r="G22" s="88"/>
      <c r="H22" s="88"/>
      <c r="I22" s="88"/>
      <c r="J22" s="88"/>
      <c r="K22" s="89"/>
    </row>
    <row r="23" spans="1:11" x14ac:dyDescent="0.2">
      <c r="C23" s="87"/>
      <c r="D23" s="88"/>
      <c r="E23" s="88"/>
      <c r="F23" s="88"/>
      <c r="G23" s="88"/>
      <c r="H23" s="88"/>
      <c r="I23" s="88"/>
      <c r="J23" s="88"/>
      <c r="K23" s="89"/>
    </row>
    <row r="24" spans="1:11" x14ac:dyDescent="0.2">
      <c r="C24" s="87"/>
      <c r="D24" s="88"/>
      <c r="E24" s="88"/>
      <c r="F24" s="88"/>
      <c r="G24" s="88"/>
      <c r="H24" s="88"/>
      <c r="I24" s="88"/>
      <c r="J24" s="88"/>
      <c r="K24" s="89"/>
    </row>
    <row r="25" spans="1:11" x14ac:dyDescent="0.2">
      <c r="C25" s="87"/>
      <c r="D25" s="88"/>
      <c r="E25" s="88"/>
      <c r="F25" s="88"/>
      <c r="G25" s="88"/>
      <c r="H25" s="88"/>
      <c r="I25" s="88"/>
      <c r="J25" s="88"/>
      <c r="K25" s="89"/>
    </row>
    <row r="26" spans="1:11" x14ac:dyDescent="0.2">
      <c r="C26" s="87"/>
      <c r="D26" s="88"/>
      <c r="E26" s="88"/>
      <c r="F26" s="88"/>
      <c r="G26" s="88"/>
      <c r="H26" s="88"/>
      <c r="I26" s="88"/>
      <c r="J26" s="88"/>
      <c r="K26" s="89"/>
    </row>
    <row r="27" spans="1:11" x14ac:dyDescent="0.2">
      <c r="C27" s="87"/>
      <c r="D27" s="88"/>
      <c r="E27" s="88"/>
      <c r="F27" s="88"/>
      <c r="G27" s="88"/>
      <c r="H27" s="88"/>
      <c r="I27" s="88"/>
      <c r="J27" s="88"/>
      <c r="K27" s="89"/>
    </row>
    <row r="28" spans="1:11" x14ac:dyDescent="0.2">
      <c r="C28" s="90"/>
      <c r="D28" s="91"/>
      <c r="E28" s="91"/>
      <c r="F28" s="91"/>
      <c r="G28" s="91"/>
      <c r="H28" s="91"/>
      <c r="I28" s="91"/>
      <c r="J28" s="91"/>
      <c r="K28" s="92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zoomScale="170" zoomScaleNormal="100" zoomScaleSheetLayoutView="170" workbookViewId="0">
      <selection activeCell="B34" sqref="B34:F47"/>
    </sheetView>
  </sheetViews>
  <sheetFormatPr defaultColWidth="9.140625" defaultRowHeight="15" x14ac:dyDescent="0.25"/>
  <cols>
    <col min="1" max="1" width="1.42578125" style="10" customWidth="1"/>
    <col min="2" max="2" width="46.85546875" style="10" customWidth="1"/>
    <col min="3" max="3" width="9.140625" style="10"/>
    <col min="4" max="4" width="9.5703125" style="10" customWidth="1"/>
    <col min="5" max="5" width="10.42578125" style="10" customWidth="1"/>
    <col min="6" max="6" width="9.140625" style="10"/>
    <col min="7" max="7" width="1.5703125" style="10" customWidth="1"/>
    <col min="8" max="8" width="9.140625" style="10"/>
    <col min="9" max="9" width="42.28515625" style="10" bestFit="1" customWidth="1"/>
    <col min="10" max="16384" width="9.140625" style="10"/>
  </cols>
  <sheetData>
    <row r="1" spans="2:12" ht="6" customHeight="1" x14ac:dyDescent="0.2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2:12" ht="16.5" customHeight="1" x14ac:dyDescent="0.25">
      <c r="B2" s="30" t="s">
        <v>38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34.5" customHeight="1" x14ac:dyDescent="0.25">
      <c r="B3" s="119" t="s">
        <v>9</v>
      </c>
      <c r="C3" s="119"/>
      <c r="D3" s="119"/>
      <c r="E3" s="119"/>
      <c r="F3" s="119"/>
      <c r="G3" s="28"/>
      <c r="H3" s="28"/>
      <c r="I3" s="28"/>
      <c r="J3" s="28"/>
      <c r="K3" s="28"/>
      <c r="L3" s="28"/>
    </row>
    <row r="4" spans="2:12" x14ac:dyDescent="0.25">
      <c r="B4" s="31" t="s">
        <v>10</v>
      </c>
      <c r="C4" s="32" t="s">
        <v>11</v>
      </c>
      <c r="D4" s="32" t="s">
        <v>12</v>
      </c>
      <c r="E4" s="32" t="s">
        <v>13</v>
      </c>
      <c r="F4" s="32" t="s">
        <v>3</v>
      </c>
      <c r="G4" s="28"/>
      <c r="H4" s="28"/>
      <c r="I4" s="28"/>
      <c r="J4" s="28"/>
      <c r="K4" s="28"/>
      <c r="L4" s="28"/>
    </row>
    <row r="5" spans="2:12" x14ac:dyDescent="0.25">
      <c r="B5" s="34" t="s">
        <v>65</v>
      </c>
      <c r="C5" s="33"/>
      <c r="D5" s="33"/>
      <c r="E5" s="33"/>
      <c r="F5" s="33"/>
      <c r="G5" s="28"/>
      <c r="H5" s="28"/>
      <c r="I5" s="28"/>
      <c r="J5" s="28"/>
      <c r="K5" s="28"/>
      <c r="L5" s="28"/>
    </row>
    <row r="6" spans="2:12" ht="25.5" x14ac:dyDescent="0.25">
      <c r="B6" s="35" t="s">
        <v>66</v>
      </c>
      <c r="C6" s="67">
        <v>109525</v>
      </c>
      <c r="D6" s="68">
        <f ca="1">'NPV + wsk_rent'!D6</f>
        <v>101100</v>
      </c>
      <c r="E6" s="68">
        <f ca="1">'NPV + wsk_rent'!E6</f>
        <v>101100</v>
      </c>
      <c r="F6" s="16"/>
      <c r="G6" s="28"/>
      <c r="H6" s="28"/>
      <c r="I6" s="28"/>
      <c r="J6" s="28"/>
      <c r="K6" s="28"/>
      <c r="L6" s="28"/>
    </row>
    <row r="7" spans="2:12" x14ac:dyDescent="0.25">
      <c r="B7" s="31" t="s">
        <v>67</v>
      </c>
      <c r="C7" s="45"/>
      <c r="D7" s="45"/>
      <c r="E7" s="45"/>
      <c r="F7" s="16"/>
      <c r="G7" s="28"/>
      <c r="H7" s="28"/>
      <c r="I7" s="28"/>
      <c r="J7" s="28"/>
      <c r="K7" s="28"/>
      <c r="L7" s="28"/>
    </row>
    <row r="8" spans="2:12" x14ac:dyDescent="0.25">
      <c r="B8" s="8" t="s">
        <v>112</v>
      </c>
      <c r="C8" s="67">
        <f>C20</f>
        <v>22133.33</v>
      </c>
      <c r="D8" s="67">
        <f>D20</f>
        <v>11200</v>
      </c>
      <c r="E8" s="67">
        <f>E20</f>
        <v>11200</v>
      </c>
      <c r="F8" s="16"/>
      <c r="G8" s="28"/>
      <c r="H8" s="28"/>
      <c r="I8" s="28"/>
      <c r="J8" s="28"/>
      <c r="K8" s="28"/>
      <c r="L8" s="28"/>
    </row>
    <row r="9" spans="2:12" x14ac:dyDescent="0.25">
      <c r="B9" s="8"/>
      <c r="C9" s="67"/>
      <c r="D9" s="67"/>
      <c r="E9" s="67"/>
      <c r="F9" s="16"/>
      <c r="G9" s="28"/>
      <c r="H9" s="28"/>
      <c r="I9" s="28"/>
      <c r="J9" s="28"/>
      <c r="K9" s="28"/>
      <c r="L9" s="28"/>
    </row>
    <row r="10" spans="2:12" x14ac:dyDescent="0.25">
      <c r="B10" s="36" t="s">
        <v>14</v>
      </c>
      <c r="C10" s="68">
        <f>C6+C8+C9</f>
        <v>131658.33000000002</v>
      </c>
      <c r="D10" s="68">
        <f t="shared" ref="D10:E10" ca="1" si="0">D6+D8+D9</f>
        <v>112300</v>
      </c>
      <c r="E10" s="68">
        <f t="shared" ca="1" si="0"/>
        <v>112300</v>
      </c>
      <c r="F10" s="16"/>
      <c r="G10" s="28"/>
      <c r="H10" s="28"/>
      <c r="I10" s="28"/>
      <c r="J10" s="28"/>
      <c r="K10" s="28"/>
      <c r="L10" s="28"/>
    </row>
    <row r="11" spans="2:12" x14ac:dyDescent="0.25">
      <c r="B11" s="36" t="s">
        <v>68</v>
      </c>
      <c r="C11" s="33"/>
      <c r="D11" s="33"/>
      <c r="E11" s="33"/>
      <c r="F11" s="16"/>
      <c r="G11" s="28"/>
      <c r="H11" s="28"/>
      <c r="I11" s="28"/>
      <c r="J11" s="28"/>
      <c r="K11" s="28"/>
      <c r="L11" s="28"/>
    </row>
    <row r="12" spans="2:12" x14ac:dyDescent="0.25">
      <c r="B12" s="35" t="s">
        <v>69</v>
      </c>
      <c r="C12" s="67">
        <v>8314.58</v>
      </c>
      <c r="D12" s="67">
        <v>7675</v>
      </c>
      <c r="E12" s="67">
        <v>7675</v>
      </c>
      <c r="F12" s="16"/>
      <c r="G12" s="28"/>
      <c r="H12" s="28"/>
      <c r="I12" s="28"/>
      <c r="J12" s="28"/>
      <c r="K12" s="28"/>
      <c r="L12" s="28"/>
    </row>
    <row r="13" spans="2:12" ht="25.5" x14ac:dyDescent="0.25">
      <c r="B13" s="35" t="s">
        <v>70</v>
      </c>
      <c r="C13" s="67">
        <v>3250</v>
      </c>
      <c r="D13" s="67">
        <v>4000</v>
      </c>
      <c r="E13" s="67">
        <v>4000</v>
      </c>
      <c r="F13" s="16"/>
      <c r="G13" s="28"/>
      <c r="H13" s="28"/>
      <c r="I13" s="28"/>
      <c r="J13" s="28"/>
      <c r="K13" s="28"/>
      <c r="L13" s="28"/>
    </row>
    <row r="14" spans="2:12" x14ac:dyDescent="0.25">
      <c r="B14" s="35" t="s">
        <v>71</v>
      </c>
      <c r="C14" s="67">
        <v>975</v>
      </c>
      <c r="D14" s="67">
        <v>900</v>
      </c>
      <c r="E14" s="67">
        <v>900</v>
      </c>
      <c r="F14" s="16"/>
      <c r="G14" s="28"/>
      <c r="H14" s="28"/>
      <c r="I14" s="28"/>
      <c r="J14" s="28"/>
      <c r="K14" s="28"/>
      <c r="L14" s="28"/>
    </row>
    <row r="15" spans="2:12" x14ac:dyDescent="0.25">
      <c r="B15" s="35" t="s">
        <v>72</v>
      </c>
      <c r="C15" s="67">
        <v>6948.37</v>
      </c>
      <c r="D15" s="67">
        <v>7274.52</v>
      </c>
      <c r="E15" s="67">
        <v>16741.560000000001</v>
      </c>
      <c r="F15" s="16"/>
      <c r="G15" s="28"/>
      <c r="H15" s="28"/>
      <c r="I15" s="28"/>
      <c r="J15" s="28"/>
      <c r="K15" s="28"/>
      <c r="L15" s="28"/>
    </row>
    <row r="16" spans="2:12" x14ac:dyDescent="0.25">
      <c r="B16" s="35" t="s">
        <v>73</v>
      </c>
      <c r="C16" s="67">
        <v>0</v>
      </c>
      <c r="D16" s="67">
        <v>0</v>
      </c>
      <c r="E16" s="67">
        <v>0</v>
      </c>
      <c r="F16" s="16"/>
      <c r="G16" s="28"/>
      <c r="H16" s="28"/>
      <c r="I16" s="28"/>
      <c r="J16" s="28"/>
      <c r="K16" s="28"/>
      <c r="L16" s="28"/>
    </row>
    <row r="17" spans="2:13" x14ac:dyDescent="0.25">
      <c r="B17" s="35" t="s">
        <v>74</v>
      </c>
      <c r="C17" s="67">
        <v>49075</v>
      </c>
      <c r="D17" s="67">
        <v>45300</v>
      </c>
      <c r="E17" s="67">
        <v>45300</v>
      </c>
      <c r="F17" s="16"/>
      <c r="G17" s="28"/>
      <c r="H17" s="28"/>
      <c r="I17" s="28"/>
      <c r="J17" s="28"/>
      <c r="K17" s="28"/>
      <c r="L17" s="28"/>
    </row>
    <row r="18" spans="2:13" x14ac:dyDescent="0.25">
      <c r="B18" s="35" t="s">
        <v>75</v>
      </c>
      <c r="C18" s="67">
        <v>3250</v>
      </c>
      <c r="D18" s="67">
        <v>3000</v>
      </c>
      <c r="E18" s="67">
        <v>3000</v>
      </c>
      <c r="F18" s="16"/>
      <c r="G18" s="28"/>
      <c r="H18" s="28"/>
      <c r="I18" s="121" t="s">
        <v>91</v>
      </c>
      <c r="J18" s="121"/>
      <c r="K18" s="121"/>
      <c r="L18" s="121"/>
    </row>
    <row r="19" spans="2:13" x14ac:dyDescent="0.25">
      <c r="B19" s="35" t="s">
        <v>76</v>
      </c>
      <c r="C19" s="33"/>
      <c r="D19" s="33"/>
      <c r="E19" s="33"/>
      <c r="F19" s="16"/>
      <c r="G19" s="28"/>
      <c r="H19" s="28"/>
      <c r="I19" s="38"/>
      <c r="J19" s="32" t="s">
        <v>11</v>
      </c>
      <c r="K19" s="32" t="s">
        <v>12</v>
      </c>
      <c r="L19" s="32" t="s">
        <v>13</v>
      </c>
    </row>
    <row r="20" spans="2:13" x14ac:dyDescent="0.25">
      <c r="B20" s="29" t="str">
        <f>IF(AND(C20="",D20="",E20="",F20=""),"",I20)</f>
        <v xml:space="preserve">8.1 pozostałe koszty – amortyzacja </v>
      </c>
      <c r="C20" s="69">
        <v>22133.33</v>
      </c>
      <c r="D20" s="69">
        <f t="shared" ref="D20:E21" si="1">IF(K20=0,"",K20)</f>
        <v>11200</v>
      </c>
      <c r="E20" s="69">
        <f t="shared" si="1"/>
        <v>11200</v>
      </c>
      <c r="F20" s="16"/>
      <c r="G20" s="28"/>
      <c r="H20" s="28"/>
      <c r="I20" s="38" t="s">
        <v>87</v>
      </c>
      <c r="J20" s="26">
        <v>22133.33</v>
      </c>
      <c r="K20" s="26">
        <v>11200</v>
      </c>
      <c r="L20" s="26">
        <v>11200</v>
      </c>
      <c r="M20" s="17"/>
    </row>
    <row r="21" spans="2:13" x14ac:dyDescent="0.25">
      <c r="B21" s="41" t="str">
        <f>IF(AND(C21="",D21="",E21="",F21=""),"",I21)</f>
        <v/>
      </c>
      <c r="C21" s="69" t="str">
        <f>IF(J21=0,"",J21)</f>
        <v/>
      </c>
      <c r="D21" s="69" t="str">
        <f t="shared" si="1"/>
        <v/>
      </c>
      <c r="E21" s="69" t="str">
        <f t="shared" si="1"/>
        <v/>
      </c>
      <c r="F21" s="16"/>
      <c r="G21" s="28"/>
      <c r="H21" s="28"/>
      <c r="I21" s="38" t="s">
        <v>81</v>
      </c>
      <c r="J21" s="26"/>
      <c r="K21" s="26"/>
      <c r="L21" s="26"/>
    </row>
    <row r="22" spans="2:13" x14ac:dyDescent="0.25">
      <c r="B22" s="27" t="s">
        <v>113</v>
      </c>
      <c r="C22" s="67">
        <v>1400</v>
      </c>
      <c r="D22" s="67">
        <v>400</v>
      </c>
      <c r="E22" s="67">
        <v>400</v>
      </c>
      <c r="F22" s="16"/>
      <c r="G22" s="28"/>
      <c r="H22" s="28"/>
      <c r="I22" s="28"/>
      <c r="J22" s="28"/>
      <c r="K22" s="28"/>
      <c r="L22" s="28"/>
    </row>
    <row r="23" spans="2:13" x14ac:dyDescent="0.25">
      <c r="B23" s="27"/>
      <c r="C23" s="67"/>
      <c r="D23" s="67"/>
      <c r="E23" s="67"/>
      <c r="F23" s="16"/>
      <c r="G23" s="28"/>
      <c r="H23" s="28"/>
      <c r="I23" s="28"/>
      <c r="J23" s="28"/>
      <c r="K23" s="28"/>
      <c r="L23" s="28"/>
    </row>
    <row r="24" spans="2:13" x14ac:dyDescent="0.25">
      <c r="B24" s="27"/>
      <c r="C24" s="67"/>
      <c r="D24" s="67"/>
      <c r="E24" s="67"/>
      <c r="F24" s="16"/>
      <c r="G24" s="28"/>
      <c r="H24" s="28"/>
      <c r="I24" s="28"/>
      <c r="J24" s="28"/>
      <c r="K24" s="28"/>
      <c r="L24" s="28"/>
    </row>
    <row r="25" spans="2:13" x14ac:dyDescent="0.25">
      <c r="B25" s="27"/>
      <c r="C25" s="67"/>
      <c r="D25" s="67"/>
      <c r="E25" s="67"/>
      <c r="F25" s="37"/>
      <c r="G25" s="28"/>
      <c r="H25" s="28"/>
      <c r="I25" s="28"/>
      <c r="J25" s="28"/>
      <c r="K25" s="28"/>
      <c r="L25" s="28"/>
    </row>
    <row r="26" spans="2:13" x14ac:dyDescent="0.25">
      <c r="B26" s="27"/>
      <c r="C26" s="67"/>
      <c r="D26" s="67"/>
      <c r="E26" s="67"/>
      <c r="F26" s="37"/>
      <c r="G26" s="28"/>
      <c r="H26" s="28"/>
      <c r="I26" s="28"/>
      <c r="J26" s="28"/>
      <c r="K26" s="28"/>
      <c r="L26" s="28"/>
    </row>
    <row r="27" spans="2:13" x14ac:dyDescent="0.25">
      <c r="B27" s="8"/>
      <c r="C27" s="67"/>
      <c r="D27" s="67"/>
      <c r="E27" s="67"/>
      <c r="F27" s="16"/>
      <c r="G27" s="28"/>
      <c r="H27" s="28"/>
      <c r="I27" s="28"/>
      <c r="J27" s="28"/>
      <c r="K27" s="28"/>
      <c r="L27" s="28"/>
    </row>
    <row r="28" spans="2:13" x14ac:dyDescent="0.25">
      <c r="B28" s="8"/>
      <c r="C28" s="67"/>
      <c r="D28" s="67"/>
      <c r="E28" s="67"/>
      <c r="F28" s="16"/>
      <c r="G28" s="28"/>
      <c r="H28" s="28"/>
      <c r="I28" s="28"/>
      <c r="J28" s="28"/>
      <c r="K28" s="28"/>
      <c r="L28" s="28"/>
    </row>
    <row r="29" spans="2:13" x14ac:dyDescent="0.25">
      <c r="B29" s="36" t="s">
        <v>15</v>
      </c>
      <c r="C29" s="68">
        <f>SUM(C12:C18)+SUM(C20:C28)</f>
        <v>95346.28</v>
      </c>
      <c r="D29" s="68">
        <f>SUM(D12:D18)+SUM(D20:D28)</f>
        <v>79749.52</v>
      </c>
      <c r="E29" s="68">
        <f>SUM(E12:E18)+SUM(E20:E28)</f>
        <v>89216.56</v>
      </c>
      <c r="F29" s="16"/>
      <c r="G29" s="28"/>
      <c r="H29" s="28"/>
      <c r="I29" s="28"/>
      <c r="J29" s="28"/>
      <c r="K29" s="28"/>
      <c r="L29" s="28"/>
    </row>
    <row r="30" spans="2:13" x14ac:dyDescent="0.25">
      <c r="B30" s="36" t="s">
        <v>77</v>
      </c>
      <c r="C30" s="68">
        <f>C10-C29</f>
        <v>36312.050000000017</v>
      </c>
      <c r="D30" s="68">
        <f ca="1">D10-D29</f>
        <v>32550.479999999996</v>
      </c>
      <c r="E30" s="68">
        <f ca="1">E10-E29</f>
        <v>23083.440000000002</v>
      </c>
      <c r="F30" s="16"/>
      <c r="G30" s="28"/>
      <c r="H30" s="28"/>
      <c r="I30" s="28"/>
      <c r="J30" s="28"/>
      <c r="K30" s="28"/>
      <c r="L30" s="28"/>
    </row>
    <row r="31" spans="2:13" x14ac:dyDescent="0.25">
      <c r="B31" s="36" t="s">
        <v>78</v>
      </c>
      <c r="C31" s="67">
        <f>C30*17%</f>
        <v>6173.0485000000035</v>
      </c>
      <c r="D31" s="67">
        <f ca="1">D30*17%</f>
        <v>5533.5815999999995</v>
      </c>
      <c r="E31" s="67">
        <f ca="1">E30*17%</f>
        <v>3924.1848000000009</v>
      </c>
      <c r="F31" s="16"/>
      <c r="G31" s="28"/>
      <c r="H31" s="28"/>
      <c r="I31" s="28"/>
      <c r="J31" s="28"/>
      <c r="K31" s="28"/>
      <c r="L31" s="28"/>
    </row>
    <row r="32" spans="2:13" x14ac:dyDescent="0.25">
      <c r="B32" s="36" t="s">
        <v>79</v>
      </c>
      <c r="C32" s="68">
        <f>C30-C31</f>
        <v>30139.001500000013</v>
      </c>
      <c r="D32" s="68">
        <f t="shared" ref="D32:E32" ca="1" si="2">D30-D31</f>
        <v>27016.898399999998</v>
      </c>
      <c r="E32" s="68">
        <f t="shared" ca="1" si="2"/>
        <v>19159.2552</v>
      </c>
      <c r="F32" s="16"/>
      <c r="G32" s="28"/>
      <c r="H32" s="28"/>
      <c r="I32" s="28"/>
      <c r="J32" s="28"/>
      <c r="K32" s="28"/>
      <c r="L32" s="28"/>
    </row>
    <row r="33" spans="2:12" x14ac:dyDescent="0.25">
      <c r="B33" s="120" t="s">
        <v>16</v>
      </c>
      <c r="C33" s="120"/>
      <c r="D33" s="120"/>
      <c r="E33" s="120"/>
      <c r="F33" s="120"/>
      <c r="G33" s="28"/>
      <c r="H33" s="28"/>
      <c r="I33" s="28"/>
      <c r="J33" s="28"/>
      <c r="K33" s="28"/>
      <c r="L33" s="28"/>
    </row>
    <row r="34" spans="2:12" ht="88.5" customHeight="1" x14ac:dyDescent="0.25">
      <c r="B34" s="118" t="s">
        <v>115</v>
      </c>
      <c r="C34" s="118"/>
      <c r="D34" s="118"/>
      <c r="E34" s="118"/>
      <c r="F34" s="118"/>
      <c r="G34" s="28"/>
      <c r="H34" s="28"/>
      <c r="I34" s="28"/>
      <c r="J34" s="28"/>
      <c r="K34" s="28"/>
      <c r="L34" s="28"/>
    </row>
    <row r="35" spans="2:12" ht="88.5" customHeight="1" x14ac:dyDescent="0.25">
      <c r="B35" s="118"/>
      <c r="C35" s="118"/>
      <c r="D35" s="118"/>
      <c r="E35" s="118"/>
      <c r="F35" s="118"/>
      <c r="G35" s="28"/>
      <c r="H35" s="28"/>
      <c r="I35" s="28"/>
      <c r="J35" s="28"/>
      <c r="K35" s="28"/>
      <c r="L35" s="28"/>
    </row>
    <row r="36" spans="2:12" ht="88.5" customHeight="1" x14ac:dyDescent="0.25">
      <c r="B36" s="118"/>
      <c r="C36" s="118"/>
      <c r="D36" s="118"/>
      <c r="E36" s="118"/>
      <c r="F36" s="118"/>
      <c r="G36" s="28"/>
      <c r="H36" s="28"/>
      <c r="I36" s="28"/>
      <c r="J36" s="28"/>
      <c r="K36" s="28"/>
      <c r="L36" s="28"/>
    </row>
    <row r="37" spans="2:12" ht="106.5" customHeight="1" x14ac:dyDescent="0.25">
      <c r="B37" s="118"/>
      <c r="C37" s="118"/>
      <c r="D37" s="118"/>
      <c r="E37" s="118"/>
      <c r="F37" s="118"/>
      <c r="G37" s="28"/>
      <c r="H37" s="28"/>
      <c r="I37" s="28"/>
      <c r="J37" s="28"/>
      <c r="K37" s="28"/>
      <c r="L37" s="28"/>
    </row>
    <row r="38" spans="2:12" ht="99" customHeight="1" x14ac:dyDescent="0.25">
      <c r="B38" s="118"/>
      <c r="C38" s="118"/>
      <c r="D38" s="118"/>
      <c r="E38" s="118"/>
      <c r="F38" s="118"/>
      <c r="G38" s="28"/>
      <c r="H38" s="28"/>
      <c r="I38" s="28"/>
      <c r="J38" s="28"/>
      <c r="K38" s="28"/>
      <c r="L38" s="28"/>
    </row>
    <row r="39" spans="2:12" ht="88.5" customHeight="1" x14ac:dyDescent="0.25">
      <c r="B39" s="118"/>
      <c r="C39" s="118"/>
      <c r="D39" s="118"/>
      <c r="E39" s="118"/>
      <c r="F39" s="118"/>
      <c r="G39" s="28"/>
      <c r="H39" s="28"/>
      <c r="I39" s="28"/>
      <c r="J39" s="28"/>
      <c r="K39" s="28"/>
      <c r="L39" s="28"/>
    </row>
    <row r="40" spans="2:12" ht="88.5" customHeight="1" x14ac:dyDescent="0.25">
      <c r="B40" s="118"/>
      <c r="C40" s="118"/>
      <c r="D40" s="118"/>
      <c r="E40" s="118"/>
      <c r="F40" s="118"/>
      <c r="G40" s="28"/>
      <c r="H40" s="28"/>
      <c r="I40" s="28"/>
      <c r="J40" s="28"/>
      <c r="K40" s="28"/>
      <c r="L40" s="28"/>
    </row>
    <row r="41" spans="2:12" ht="88.5" customHeight="1" x14ac:dyDescent="0.25">
      <c r="B41" s="118"/>
      <c r="C41" s="118"/>
      <c r="D41" s="118"/>
      <c r="E41" s="118"/>
      <c r="F41" s="118"/>
      <c r="G41" s="28"/>
      <c r="H41" s="28"/>
      <c r="I41" s="28"/>
      <c r="J41" s="28"/>
      <c r="K41" s="28"/>
      <c r="L41" s="28"/>
    </row>
    <row r="42" spans="2:12" ht="88.5" customHeight="1" x14ac:dyDescent="0.25">
      <c r="B42" s="118"/>
      <c r="C42" s="118"/>
      <c r="D42" s="118"/>
      <c r="E42" s="118"/>
      <c r="F42" s="118"/>
      <c r="G42" s="28"/>
      <c r="H42" s="28"/>
      <c r="I42" s="28"/>
      <c r="J42" s="28"/>
      <c r="K42" s="28"/>
      <c r="L42" s="28"/>
    </row>
    <row r="43" spans="2:12" ht="117.75" customHeight="1" x14ac:dyDescent="0.25">
      <c r="B43" s="118"/>
      <c r="C43" s="118"/>
      <c r="D43" s="118"/>
      <c r="E43" s="118"/>
      <c r="F43" s="118"/>
      <c r="G43" s="28"/>
      <c r="H43" s="28"/>
      <c r="I43" s="28"/>
      <c r="J43" s="28"/>
      <c r="K43" s="28"/>
      <c r="L43" s="28"/>
    </row>
    <row r="44" spans="2:12" ht="81" customHeight="1" x14ac:dyDescent="0.25">
      <c r="B44" s="118"/>
      <c r="C44" s="118"/>
      <c r="D44" s="118"/>
      <c r="E44" s="118"/>
      <c r="F44" s="118"/>
      <c r="G44" s="28"/>
      <c r="H44" s="28"/>
      <c r="I44" s="28"/>
      <c r="J44" s="28"/>
      <c r="K44" s="28"/>
      <c r="L44" s="28"/>
    </row>
    <row r="45" spans="2:12" ht="88.5" customHeight="1" x14ac:dyDescent="0.25">
      <c r="B45" s="118"/>
      <c r="C45" s="118"/>
      <c r="D45" s="118"/>
      <c r="E45" s="118"/>
      <c r="F45" s="118"/>
      <c r="G45" s="28"/>
      <c r="H45" s="28"/>
      <c r="I45" s="28"/>
      <c r="J45" s="28"/>
      <c r="K45" s="28"/>
      <c r="L45" s="28"/>
    </row>
    <row r="46" spans="2:12" ht="118.5" customHeight="1" x14ac:dyDescent="0.25">
      <c r="B46" s="118"/>
      <c r="C46" s="118"/>
      <c r="D46" s="118"/>
      <c r="E46" s="118"/>
      <c r="F46" s="118"/>
      <c r="G46" s="28"/>
      <c r="H46" s="28"/>
      <c r="I46" s="28"/>
      <c r="J46" s="28"/>
      <c r="K46" s="28"/>
      <c r="L46" s="28"/>
    </row>
    <row r="47" spans="2:12" ht="108.75" customHeight="1" x14ac:dyDescent="0.25">
      <c r="B47" s="118"/>
      <c r="C47" s="118"/>
      <c r="D47" s="118"/>
      <c r="E47" s="118"/>
      <c r="F47" s="118"/>
      <c r="G47" s="28"/>
      <c r="H47" s="28"/>
      <c r="I47" s="28"/>
      <c r="J47" s="28"/>
      <c r="K47" s="28"/>
      <c r="L47" s="28"/>
    </row>
    <row r="48" spans="2:12" ht="12.75" customHeight="1" x14ac:dyDescent="0.2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</sheetData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6.5" customHeight="1" x14ac:dyDescent="0.25">
      <c r="A2" s="24"/>
      <c r="B2" s="24" t="s">
        <v>36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x14ac:dyDescent="0.25">
      <c r="A3" s="24"/>
      <c r="B3" s="126" t="s">
        <v>17</v>
      </c>
      <c r="C3" s="21" t="s">
        <v>18</v>
      </c>
      <c r="D3" s="126" t="s">
        <v>20</v>
      </c>
      <c r="E3" s="126" t="s">
        <v>21</v>
      </c>
      <c r="F3" s="126" t="s">
        <v>22</v>
      </c>
      <c r="G3" s="24"/>
      <c r="H3" s="24"/>
      <c r="I3" s="24"/>
      <c r="J3" s="24"/>
      <c r="K3" s="24"/>
      <c r="L3" s="24"/>
      <c r="M3" s="24"/>
      <c r="N3" s="24"/>
      <c r="O3" s="24"/>
    </row>
    <row r="4" spans="1:15" ht="33.75" customHeight="1" x14ac:dyDescent="0.25">
      <c r="A4" s="24"/>
      <c r="B4" s="126"/>
      <c r="C4" s="21" t="s">
        <v>19</v>
      </c>
      <c r="D4" s="126"/>
      <c r="E4" s="126"/>
      <c r="F4" s="126"/>
      <c r="G4" s="24"/>
      <c r="H4" s="24"/>
      <c r="I4" s="24"/>
      <c r="J4" s="24"/>
      <c r="K4" s="24"/>
      <c r="L4" s="24"/>
      <c r="M4" s="24"/>
      <c r="N4" s="24"/>
      <c r="O4" s="24"/>
    </row>
    <row r="5" spans="1:15" x14ac:dyDescent="0.25">
      <c r="A5" s="24"/>
      <c r="B5" s="4" t="s">
        <v>23</v>
      </c>
      <c r="C5" s="47">
        <f>Zakres!O28</f>
        <v>80500</v>
      </c>
      <c r="D5" s="47"/>
      <c r="E5" s="47"/>
      <c r="F5" s="22"/>
      <c r="G5" s="24"/>
      <c r="H5" s="24"/>
      <c r="I5" s="24"/>
      <c r="J5" s="24"/>
      <c r="K5" s="24"/>
      <c r="L5" s="24"/>
      <c r="M5" s="24"/>
      <c r="N5" s="24"/>
      <c r="O5" s="24"/>
    </row>
    <row r="6" spans="1:15" ht="34.5" customHeight="1" x14ac:dyDescent="0.25">
      <c r="A6" s="24"/>
      <c r="B6" s="4" t="s">
        <v>24</v>
      </c>
      <c r="C6" s="47">
        <f>RZS!C6</f>
        <v>109525</v>
      </c>
      <c r="D6" s="47">
        <f ca="1">SUMPRODUCT(Przychody!E7:OFFSET(uzasadnienie,-4,2),Przychody!G7:OFFSET(uzasadnienie,-4,4))</f>
        <v>101100</v>
      </c>
      <c r="E6" s="47">
        <f ca="1">SUMPRODUCT(Przychody!H7:OFFSET(uzasadnienie,-4,5),Przychody!I7:OFFSET(uzasadnienie,-4,6))</f>
        <v>101100</v>
      </c>
      <c r="F6" s="22"/>
      <c r="G6" s="24"/>
      <c r="H6" s="24"/>
      <c r="I6" s="24"/>
      <c r="J6" s="24"/>
      <c r="K6" s="24"/>
      <c r="L6" s="24"/>
      <c r="M6" s="24"/>
      <c r="N6" s="24"/>
      <c r="O6" s="24"/>
    </row>
    <row r="7" spans="1:15" ht="31.5" customHeight="1" x14ac:dyDescent="0.25">
      <c r="A7" s="24"/>
      <c r="B7" s="4" t="s">
        <v>25</v>
      </c>
      <c r="C7" s="47">
        <f>RZS!C29</f>
        <v>95346.28</v>
      </c>
      <c r="D7" s="47">
        <f>RZS!D29</f>
        <v>79749.52</v>
      </c>
      <c r="E7" s="47">
        <f>RZS!E29</f>
        <v>89216.56</v>
      </c>
      <c r="F7" s="22"/>
      <c r="G7" s="24"/>
      <c r="H7" s="24"/>
      <c r="I7" s="24"/>
      <c r="J7" s="24"/>
      <c r="K7" s="24"/>
      <c r="L7" s="24"/>
      <c r="M7" s="24"/>
      <c r="N7" s="24"/>
      <c r="O7" s="24"/>
    </row>
    <row r="8" spans="1:15" x14ac:dyDescent="0.25">
      <c r="A8" s="24"/>
      <c r="B8" s="4" t="s">
        <v>26</v>
      </c>
      <c r="C8" s="47">
        <f>C6-C7</f>
        <v>14178.720000000001</v>
      </c>
      <c r="D8" s="47">
        <f t="shared" ref="D8:E8" ca="1" si="0">D6-D7</f>
        <v>21350.479999999996</v>
      </c>
      <c r="E8" s="47">
        <f t="shared" ca="1" si="0"/>
        <v>11883.440000000002</v>
      </c>
      <c r="F8" s="22"/>
      <c r="G8" s="24"/>
      <c r="H8" s="24"/>
      <c r="I8" s="24"/>
      <c r="J8" s="24"/>
      <c r="K8" s="24"/>
      <c r="L8" s="24"/>
      <c r="M8" s="24"/>
      <c r="N8" s="24"/>
      <c r="O8" s="24"/>
    </row>
    <row r="9" spans="1:15" ht="22.5" customHeight="1" x14ac:dyDescent="0.25">
      <c r="A9" s="24"/>
      <c r="B9" s="5" t="s">
        <v>27</v>
      </c>
      <c r="C9" s="127">
        <f>RZS!C31</f>
        <v>6173.0485000000035</v>
      </c>
      <c r="D9" s="127">
        <f ca="1">RZS!D31</f>
        <v>5533.5815999999995</v>
      </c>
      <c r="E9" s="127">
        <f ca="1">RZS!E31</f>
        <v>3924.1848000000009</v>
      </c>
      <c r="F9" s="128"/>
      <c r="G9" s="24"/>
      <c r="H9" s="24"/>
      <c r="I9" s="24"/>
      <c r="J9" s="24"/>
      <c r="K9" s="24"/>
      <c r="L9" s="24"/>
      <c r="M9" s="24"/>
      <c r="N9" s="24"/>
      <c r="O9" s="24"/>
    </row>
    <row r="10" spans="1:15" ht="17.25" customHeight="1" x14ac:dyDescent="0.25">
      <c r="A10" s="24"/>
      <c r="B10" s="70">
        <v>0.17</v>
      </c>
      <c r="C10" s="127"/>
      <c r="D10" s="127"/>
      <c r="E10" s="127"/>
      <c r="F10" s="128"/>
      <c r="G10" s="24"/>
      <c r="H10" s="24"/>
      <c r="I10" s="24"/>
      <c r="J10" s="24"/>
      <c r="K10" s="24"/>
      <c r="L10" s="24"/>
      <c r="M10" s="24"/>
      <c r="N10" s="24"/>
      <c r="O10" s="24"/>
    </row>
    <row r="11" spans="1:15" x14ac:dyDescent="0.25">
      <c r="A11" s="24"/>
      <c r="B11" s="5" t="s">
        <v>28</v>
      </c>
      <c r="C11" s="47">
        <f>C8-C9</f>
        <v>8005.6714999999976</v>
      </c>
      <c r="D11" s="47">
        <f t="shared" ref="D11:E11" ca="1" si="1">D8-D9</f>
        <v>15816.898399999996</v>
      </c>
      <c r="E11" s="47">
        <f t="shared" ca="1" si="1"/>
        <v>7959.2552000000014</v>
      </c>
      <c r="F11" s="22"/>
      <c r="G11" s="24"/>
      <c r="H11" s="24"/>
      <c r="I11" s="24"/>
      <c r="J11" s="24"/>
      <c r="K11" s="24"/>
      <c r="L11" s="24"/>
      <c r="M11" s="24"/>
      <c r="N11" s="24"/>
      <c r="O11" s="24"/>
    </row>
    <row r="12" spans="1:15" x14ac:dyDescent="0.25">
      <c r="A12" s="24"/>
      <c r="B12" s="5" t="s">
        <v>29</v>
      </c>
      <c r="C12" s="48"/>
      <c r="D12" s="48"/>
      <c r="E12" s="49">
        <f>Zakres!O29-SUM(RZS!J20:L20)</f>
        <v>35966.67</v>
      </c>
      <c r="F12" s="18"/>
      <c r="G12" s="24"/>
      <c r="H12" s="24"/>
      <c r="I12" s="24"/>
      <c r="J12" s="24"/>
      <c r="K12" s="24"/>
      <c r="L12" s="24"/>
      <c r="M12" s="24"/>
      <c r="N12" s="24"/>
      <c r="O12" s="24"/>
    </row>
    <row r="13" spans="1:15" x14ac:dyDescent="0.25">
      <c r="A13" s="24"/>
      <c r="B13" s="5" t="s">
        <v>30</v>
      </c>
      <c r="C13" s="47">
        <f>IF(RZS!C20="",0,RZS!C20)+IF(RZS!C21="",0,RZS!C21)</f>
        <v>22133.33</v>
      </c>
      <c r="D13" s="47">
        <f>IF(RZS!D20="",0,RZS!D20)+IF(RZS!D21="",0,RZS!D21)</f>
        <v>11200</v>
      </c>
      <c r="E13" s="47">
        <f>IF(RZS!E20="",0,RZS!E20)+IF(RZS!E21="",0,RZS!E21)</f>
        <v>11200</v>
      </c>
      <c r="F13" s="22"/>
      <c r="G13" s="24"/>
      <c r="H13" s="24"/>
      <c r="I13" s="24"/>
      <c r="J13" s="24"/>
      <c r="K13" s="24"/>
      <c r="L13" s="24"/>
      <c r="M13" s="24"/>
      <c r="N13" s="24"/>
      <c r="O13" s="24"/>
    </row>
    <row r="14" spans="1:15" x14ac:dyDescent="0.25">
      <c r="A14" s="24"/>
      <c r="B14" s="5" t="s">
        <v>31</v>
      </c>
      <c r="C14" s="47">
        <f t="shared" ref="C14:D14" si="2">(-C5)+C11+C13</f>
        <v>-50360.998500000002</v>
      </c>
      <c r="D14" s="47">
        <f t="shared" ca="1" si="2"/>
        <v>27016.898399999998</v>
      </c>
      <c r="E14" s="47">
        <f ca="1">(-E5)+E11+E13+E12</f>
        <v>55125.925199999998</v>
      </c>
      <c r="F14" s="22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25.5" x14ac:dyDescent="0.25">
      <c r="A15" s="24"/>
      <c r="B15" s="5" t="s">
        <v>32</v>
      </c>
      <c r="C15" s="46">
        <f>1/(1+$G15)^0</f>
        <v>1</v>
      </c>
      <c r="D15" s="46">
        <f>ROUND(1/(1+$G15)^1,4)</f>
        <v>0.97250000000000003</v>
      </c>
      <c r="E15" s="46">
        <f>ROUND(1/(1+$G15)^2,4)</f>
        <v>0.94569999999999999</v>
      </c>
      <c r="F15" s="19"/>
      <c r="G15" s="23">
        <v>2.8299999999999999E-2</v>
      </c>
      <c r="H15" s="24"/>
      <c r="I15" s="24"/>
      <c r="J15" s="24"/>
      <c r="K15" s="24"/>
      <c r="L15" s="24"/>
      <c r="M15" s="24"/>
      <c r="N15" s="24"/>
      <c r="O15" s="24"/>
    </row>
    <row r="16" spans="1:15" x14ac:dyDescent="0.25">
      <c r="A16" s="24"/>
      <c r="B16" s="6" t="s">
        <v>33</v>
      </c>
      <c r="C16" s="122">
        <f ca="1">SUMPRODUCT(C14:E14,C15:E15)</f>
        <v>28045.522655639994</v>
      </c>
      <c r="D16" s="122"/>
      <c r="E16" s="123"/>
      <c r="F16" s="123"/>
      <c r="G16" s="24"/>
      <c r="H16" s="24"/>
      <c r="I16" s="24"/>
      <c r="J16" s="24"/>
      <c r="K16" s="24"/>
      <c r="L16" s="24"/>
      <c r="M16" s="24"/>
      <c r="N16" s="24"/>
      <c r="O16" s="24"/>
    </row>
    <row r="17" spans="1:15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x14ac:dyDescent="0.25">
      <c r="A18" s="24"/>
      <c r="B18" s="24"/>
      <c r="C18" s="24"/>
      <c r="D18" s="24"/>
      <c r="E18" s="24"/>
      <c r="F18" s="24"/>
      <c r="G18" s="24"/>
      <c r="H18" s="24" t="s">
        <v>84</v>
      </c>
      <c r="I18" s="24"/>
      <c r="J18" s="24"/>
      <c r="K18" s="24"/>
      <c r="L18" s="24"/>
      <c r="M18" s="24"/>
      <c r="N18" s="24"/>
      <c r="O18" s="24"/>
    </row>
    <row r="19" spans="1:15" x14ac:dyDescent="0.25">
      <c r="A19" s="24"/>
      <c r="B19" s="24" t="s">
        <v>37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x14ac:dyDescent="0.25">
      <c r="A20" s="24"/>
      <c r="B20" s="124"/>
      <c r="C20" s="125" t="s">
        <v>34</v>
      </c>
      <c r="D20" s="125" t="s">
        <v>20</v>
      </c>
      <c r="E20" s="125" t="s">
        <v>21</v>
      </c>
      <c r="F20" s="125" t="s">
        <v>22</v>
      </c>
      <c r="G20" s="3"/>
      <c r="H20" s="24"/>
      <c r="I20" s="24"/>
      <c r="J20" s="24"/>
      <c r="K20" s="24"/>
      <c r="L20" s="24"/>
      <c r="M20" s="24"/>
      <c r="N20" s="24"/>
      <c r="O20" s="24"/>
    </row>
    <row r="21" spans="1:15" x14ac:dyDescent="0.25">
      <c r="A21" s="24"/>
      <c r="B21" s="124"/>
      <c r="C21" s="125"/>
      <c r="D21" s="125"/>
      <c r="E21" s="125"/>
      <c r="F21" s="125"/>
      <c r="G21" s="3"/>
      <c r="H21" s="24"/>
      <c r="I21" s="24"/>
      <c r="J21" s="24"/>
      <c r="K21" s="24"/>
      <c r="L21" s="24"/>
      <c r="M21" s="24"/>
      <c r="N21" s="24"/>
      <c r="O21" s="24"/>
    </row>
    <row r="22" spans="1:15" ht="25.5" x14ac:dyDescent="0.25">
      <c r="A22" s="24"/>
      <c r="B22" s="1" t="s">
        <v>35</v>
      </c>
      <c r="C22" s="7">
        <f>IF(RZS!C6=0,"",RZS!C30/RZS!C6*100%)</f>
        <v>0.33154120063912362</v>
      </c>
      <c r="D22" s="7">
        <f ca="1">IF(RZS!D6=0,"",RZS!D30/RZS!D6*100%)</f>
        <v>0.32196320474777446</v>
      </c>
      <c r="E22" s="7">
        <f ca="1">IF(RZS!E6=0,"",RZS!E30/RZS!E6*100%)</f>
        <v>0.22832284866468844</v>
      </c>
      <c r="F22" s="20" t="str">
        <f>IF(RZS!F6=0,"",RZS!F30/RZS!F6*100%)</f>
        <v/>
      </c>
      <c r="G22" s="3"/>
      <c r="H22" s="24"/>
      <c r="I22" s="24"/>
      <c r="J22" s="24"/>
      <c r="K22" s="24"/>
      <c r="L22" s="24"/>
      <c r="M22" s="24"/>
      <c r="N22" s="24"/>
      <c r="O22" s="24"/>
    </row>
    <row r="23" spans="1:15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Justyna</cp:lastModifiedBy>
  <cp:lastPrinted>2022-01-03T12:39:56Z</cp:lastPrinted>
  <dcterms:created xsi:type="dcterms:W3CDTF">2017-01-11T14:22:24Z</dcterms:created>
  <dcterms:modified xsi:type="dcterms:W3CDTF">2022-01-03T13:09:30Z</dcterms:modified>
</cp:coreProperties>
</file>